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05882FAA-5833-4B63-BF78-A5AF08D2B543}" xr6:coauthVersionLast="47" xr6:coauthVersionMax="47" xr10:uidLastSave="{00000000-0000-0000-0000-000000000000}"/>
  <bookViews>
    <workbookView xWindow="-108" yWindow="-108" windowWidth="23256" windowHeight="13896" activeTab="1" xr2:uid="{00000000-000D-0000-FFFF-FFFF00000000}"/>
  </bookViews>
  <sheets>
    <sheet name="Instructions" sheetId="2" r:id="rId1"/>
    <sheet name="Ratios" sheetId="3" r:id="rId2"/>
    <sheet name="Financial Statements"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5" i="3" l="1"/>
  <c r="E45" i="3"/>
  <c r="D45" i="3"/>
  <c r="E43" i="3"/>
  <c r="D43" i="3"/>
  <c r="C43" i="3"/>
  <c r="E41" i="3"/>
  <c r="D41" i="3"/>
  <c r="C41" i="3"/>
  <c r="C31" i="3"/>
  <c r="C30" i="3" s="1"/>
  <c r="D30" i="3"/>
  <c r="D31" i="3"/>
  <c r="E97" i="3"/>
  <c r="D97" i="3"/>
  <c r="C97" i="3"/>
  <c r="E96" i="3"/>
  <c r="D96" i="3"/>
  <c r="C96" i="3"/>
  <c r="E31" i="3" l="1"/>
  <c r="E30" i="3" s="1"/>
  <c r="E95" i="3"/>
  <c r="D95" i="3"/>
  <c r="C95" i="3"/>
  <c r="E92" i="3"/>
  <c r="D92" i="3"/>
  <c r="C92" i="3"/>
  <c r="E91" i="3"/>
  <c r="D91" i="3"/>
  <c r="C91" i="3"/>
  <c r="E90" i="3"/>
  <c r="D90" i="3"/>
  <c r="C90" i="3"/>
  <c r="E89" i="3"/>
  <c r="D89" i="3"/>
  <c r="C89" i="3"/>
  <c r="E87" i="3"/>
  <c r="D87" i="3"/>
  <c r="C87" i="3"/>
  <c r="E86" i="3"/>
  <c r="D86" i="3"/>
  <c r="C86" i="3"/>
  <c r="C83" i="3"/>
  <c r="D83" i="3"/>
  <c r="E83" i="3"/>
  <c r="C82" i="3"/>
  <c r="D82" i="3"/>
  <c r="E82" i="3"/>
  <c r="C79" i="3"/>
  <c r="D79" i="3"/>
  <c r="E79" i="3"/>
  <c r="C78" i="3"/>
  <c r="D78" i="3"/>
  <c r="E78" i="3"/>
  <c r="C77" i="3"/>
  <c r="D77" i="3"/>
  <c r="E77" i="3"/>
  <c r="C76" i="3"/>
  <c r="D76" i="3"/>
  <c r="E76" i="3"/>
  <c r="C75" i="3"/>
  <c r="D75" i="3"/>
  <c r="E75" i="3"/>
  <c r="C73" i="3"/>
  <c r="D73" i="3"/>
  <c r="E73" i="3"/>
  <c r="C72" i="3"/>
  <c r="D72" i="3"/>
  <c r="E72" i="3"/>
  <c r="C71" i="3"/>
  <c r="E71" i="3"/>
  <c r="D71" i="3"/>
  <c r="C69" i="3"/>
  <c r="D69" i="3"/>
  <c r="E69" i="3"/>
  <c r="C68" i="3"/>
  <c r="D68" i="3"/>
  <c r="E68" i="3"/>
  <c r="C67" i="3"/>
  <c r="D55" i="3"/>
  <c r="D56" i="3"/>
  <c r="D57" i="3"/>
  <c r="D58" i="3"/>
  <c r="D60" i="3"/>
  <c r="D61" i="3"/>
  <c r="D66" i="3"/>
  <c r="D64" i="3"/>
  <c r="D65" i="3"/>
  <c r="D67" i="3"/>
  <c r="E67" i="3"/>
  <c r="C66" i="3"/>
  <c r="E66" i="3"/>
  <c r="C65" i="3"/>
  <c r="E65" i="3"/>
  <c r="C64" i="3"/>
  <c r="E64" i="3"/>
  <c r="C61" i="3"/>
  <c r="E61" i="3"/>
  <c r="C60" i="3"/>
  <c r="E60" i="3"/>
  <c r="C58" i="3"/>
  <c r="E58" i="3"/>
  <c r="C57" i="3"/>
  <c r="E57" i="3"/>
  <c r="E56" i="3"/>
  <c r="C56" i="3"/>
  <c r="C55" i="3"/>
  <c r="E55" i="3"/>
  <c r="E51" i="3"/>
  <c r="D51" i="3"/>
  <c r="C51" i="3"/>
  <c r="E49" i="3"/>
  <c r="D49" i="3"/>
  <c r="C49" i="3"/>
  <c r="E47" i="3"/>
  <c r="D47" i="3"/>
  <c r="C47" i="3"/>
  <c r="D46" i="3"/>
  <c r="C46" i="3"/>
  <c r="C40" i="3"/>
  <c r="E37" i="3"/>
  <c r="D37" i="3"/>
  <c r="C37" i="3"/>
  <c r="E36" i="3"/>
  <c r="D36" i="3"/>
  <c r="C36" i="3"/>
  <c r="E35" i="3"/>
  <c r="D35" i="3"/>
  <c r="C35" i="3"/>
  <c r="E34" i="3"/>
  <c r="D34" i="3"/>
  <c r="C34" i="3"/>
  <c r="E27" i="3"/>
  <c r="D27" i="3"/>
  <c r="C27" i="3"/>
  <c r="E26" i="3"/>
  <c r="D26" i="3"/>
  <c r="C26" i="3"/>
  <c r="E25" i="3"/>
  <c r="D25" i="3"/>
  <c r="C25" i="3"/>
  <c r="E21" i="3"/>
  <c r="E29" i="3" s="1"/>
  <c r="D21" i="3"/>
  <c r="D20" i="3" s="1"/>
  <c r="C21" i="3"/>
  <c r="C29" i="3" s="1"/>
  <c r="E19" i="3"/>
  <c r="E18" i="3" s="1"/>
  <c r="D19" i="3"/>
  <c r="D18" i="3" s="1"/>
  <c r="C19" i="3"/>
  <c r="C18" i="3" s="1"/>
  <c r="E11" i="3"/>
  <c r="D11" i="3"/>
  <c r="C11" i="3"/>
  <c r="E10" i="3"/>
  <c r="D10" i="3"/>
  <c r="C10" i="3"/>
  <c r="E9" i="3"/>
  <c r="D9" i="3"/>
  <c r="C9" i="3"/>
  <c r="E5" i="3"/>
  <c r="D5" i="3"/>
  <c r="C5" i="3"/>
  <c r="E6" i="3"/>
  <c r="D6" i="3"/>
  <c r="E7" i="3"/>
  <c r="C7" i="3"/>
  <c r="D7" i="3"/>
  <c r="E8" i="3"/>
  <c r="D8" i="3"/>
  <c r="C8" i="3"/>
  <c r="E12" i="3"/>
  <c r="D12" i="3"/>
  <c r="C12" i="3"/>
  <c r="N42" i="1"/>
  <c r="N41" i="1"/>
  <c r="N40" i="1"/>
  <c r="E14" i="3"/>
  <c r="E13" i="3" s="1"/>
  <c r="D14" i="3"/>
  <c r="D13" i="3" s="1"/>
  <c r="C14" i="3"/>
  <c r="C13" i="3" s="1"/>
  <c r="E17" i="3"/>
  <c r="D17" i="3"/>
  <c r="C17" i="3"/>
  <c r="E22" i="3"/>
  <c r="D22" i="3"/>
  <c r="C22" i="3"/>
  <c r="G12" i="1"/>
  <c r="G11" i="1"/>
  <c r="G10" i="1"/>
  <c r="E28" i="3"/>
  <c r="D28" i="3"/>
  <c r="C28" i="3"/>
  <c r="G31" i="1"/>
  <c r="F102" i="1"/>
  <c r="F101" i="1"/>
  <c r="F100" i="1"/>
  <c r="G82" i="1"/>
  <c r="G81" i="1"/>
  <c r="G80" i="1"/>
  <c r="F90" i="1"/>
  <c r="F89" i="1"/>
  <c r="F88" i="1"/>
  <c r="G76" i="1"/>
  <c r="G75" i="1"/>
  <c r="G74" i="1"/>
  <c r="G69" i="1"/>
  <c r="G68" i="1"/>
  <c r="G67" i="1"/>
  <c r="G63" i="1"/>
  <c r="G62" i="1"/>
  <c r="G61" i="1"/>
  <c r="G23" i="1"/>
  <c r="G22" i="1"/>
  <c r="G21" i="1"/>
  <c r="G33" i="1"/>
  <c r="G32" i="1"/>
  <c r="G41" i="1"/>
  <c r="G40" i="1"/>
  <c r="G39" i="1"/>
  <c r="G54" i="1"/>
  <c r="G53" i="1"/>
  <c r="G52" i="1"/>
  <c r="G48" i="1"/>
  <c r="G47" i="1"/>
  <c r="G46" i="1"/>
  <c r="L60" i="1"/>
  <c r="M57" i="1"/>
  <c r="M56" i="1"/>
  <c r="M55" i="1"/>
  <c r="L51" i="1"/>
  <c r="L49" i="1"/>
  <c r="L46" i="1"/>
  <c r="M42" i="1"/>
  <c r="M41" i="1"/>
  <c r="M40" i="1"/>
  <c r="L42" i="1"/>
  <c r="L41" i="1"/>
  <c r="L40" i="1"/>
  <c r="D108" i="1"/>
  <c r="C108" i="1"/>
  <c r="B108" i="1"/>
  <c r="D99" i="1"/>
  <c r="C99" i="1"/>
  <c r="B99" i="1"/>
  <c r="E42" i="3" l="1" a="1"/>
  <c r="E42" i="3" s="1"/>
  <c r="E40" i="3"/>
  <c r="D29" i="3"/>
  <c r="E44" i="3"/>
  <c r="C50" i="3"/>
  <c r="C20" i="3"/>
  <c r="E20" i="3"/>
  <c r="D42" i="3"/>
  <c r="C44" i="3"/>
  <c r="E46" i="3"/>
  <c r="E48" i="3"/>
  <c r="E50" i="3"/>
  <c r="D50" i="3"/>
  <c r="D44" i="3"/>
  <c r="C48" i="3"/>
  <c r="D48" i="3"/>
  <c r="D40" i="3"/>
  <c r="C42" i="3"/>
  <c r="D68" i="1"/>
  <c r="C68" i="1"/>
  <c r="B68" i="1"/>
  <c r="D61" i="1"/>
  <c r="C61" i="1"/>
  <c r="B61" i="1"/>
  <c r="D56" i="1"/>
  <c r="C56" i="1"/>
  <c r="C62" i="1" s="1"/>
  <c r="B56" i="1"/>
  <c r="B62" i="1" s="1"/>
  <c r="D47" i="1"/>
  <c r="C47" i="1"/>
  <c r="B47" i="1"/>
  <c r="D42" i="1"/>
  <c r="C42" i="1"/>
  <c r="B42" i="1"/>
  <c r="B48" i="1" s="1"/>
  <c r="D17" i="1"/>
  <c r="C17" i="1"/>
  <c r="B17" i="1"/>
  <c r="D12" i="1"/>
  <c r="C12" i="1"/>
  <c r="B12" i="1"/>
  <c r="D8" i="1"/>
  <c r="D13" i="1" s="1"/>
  <c r="D18" i="1" s="1"/>
  <c r="D20" i="1" s="1"/>
  <c r="D22" i="1" s="1"/>
  <c r="D76" i="1" s="1"/>
  <c r="D91" i="1" s="1"/>
  <c r="D109" i="1" s="1"/>
  <c r="C8" i="1"/>
  <c r="B8" i="1"/>
  <c r="E3" i="3"/>
  <c r="D3" i="3"/>
  <c r="C3" i="3"/>
  <c r="D33" i="1"/>
  <c r="D73" i="1" s="1"/>
  <c r="C33" i="1"/>
  <c r="C73" i="1" s="1"/>
  <c r="B33" i="1"/>
  <c r="B73" i="1" s="1"/>
  <c r="B13" i="1" l="1"/>
  <c r="C13" i="1"/>
  <c r="C18" i="1" s="1"/>
  <c r="C20" i="1" s="1"/>
  <c r="C22" i="1" s="1"/>
  <c r="C76" i="1" s="1"/>
  <c r="C91" i="1" s="1"/>
  <c r="C109" i="1" s="1"/>
  <c r="B18" i="1"/>
  <c r="B20" i="1" s="1"/>
  <c r="B22" i="1" s="1"/>
  <c r="B76" i="1" s="1"/>
  <c r="B91" i="1" s="1"/>
  <c r="B109" i="1" s="1"/>
  <c r="C48" i="1"/>
  <c r="D62" i="1"/>
  <c r="D69" i="1" s="1"/>
  <c r="C69" i="1"/>
  <c r="D48" i="1"/>
  <c r="B69" i="1"/>
  <c r="A47" i="3"/>
  <c r="A49" i="3" s="1"/>
  <c r="A16" i="3"/>
  <c r="A17" i="3" s="1"/>
  <c r="A18" i="3" s="1"/>
  <c r="A20" i="3" s="1"/>
  <c r="A22" i="3" s="1"/>
  <c r="A5" i="3"/>
  <c r="A6" i="3" s="1"/>
  <c r="A7" i="3" s="1"/>
  <c r="A8" i="3" s="1"/>
  <c r="A9" i="3" s="1"/>
  <c r="A10" i="3" s="1"/>
  <c r="A11" i="3" s="1"/>
  <c r="A12" i="3" s="1"/>
  <c r="A13" i="3" s="1"/>
  <c r="A24" i="3" l="1"/>
  <c r="A25" i="3" s="1"/>
  <c r="A26" i="3" s="1"/>
  <c r="A27" i="3" s="1"/>
  <c r="A28" i="3" s="1"/>
  <c r="A29" i="3" s="1"/>
  <c r="A30" i="3" s="1"/>
  <c r="A33" i="3" l="1"/>
  <c r="A39" i="3" s="1"/>
  <c r="A40" i="3" s="1"/>
  <c r="A41" i="3" s="1"/>
  <c r="A42" i="3" s="1"/>
  <c r="A43" i="3" s="1"/>
  <c r="A44" i="3" s="1"/>
  <c r="A46" i="3" s="1"/>
  <c r="A48" i="3" s="1"/>
  <c r="A50" i="3" s="1"/>
  <c r="A34" i="3" l="1"/>
  <c r="A35" i="3" s="1"/>
  <c r="A36" i="3" s="1"/>
  <c r="A37"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<sst xmlns="http://schemas.openxmlformats.org/spreadsheetml/2006/main" count="318" uniqueCount="243">
  <si>
    <t>Apple Inc.</t>
  </si>
  <si>
    <t>CONSOLIDATED STATEMENTS OF OPERATIONS</t>
  </si>
  <si>
    <t>(In millions, except number of shares which are reflected in thousands and per share amounts)</t>
  </si>
  <si>
    <t>Net sales:</t>
  </si>
  <si>
    <t>Products</t>
  </si>
  <si>
    <t>Services</t>
  </si>
  <si>
    <t>Total net sales</t>
  </si>
  <si>
    <t>Cost of sales:</t>
  </si>
  <si>
    <t>Total cost of sales</t>
  </si>
  <si>
    <t>Gross margin</t>
  </si>
  <si>
    <t>Operating expenses:</t>
  </si>
  <si>
    <t>Research and development</t>
  </si>
  <si>
    <t>Selling, general and administrative</t>
  </si>
  <si>
    <t>Total operating expenses</t>
  </si>
  <si>
    <t>Operating income</t>
  </si>
  <si>
    <t>Other income/(expense), net</t>
  </si>
  <si>
    <t>Income before provision for income taxes</t>
  </si>
  <si>
    <t>Provision for income taxes</t>
  </si>
  <si>
    <t>Net income</t>
  </si>
  <si>
    <t>Earnings per share:</t>
  </si>
  <si>
    <t>Basic</t>
  </si>
  <si>
    <t>Diluted</t>
  </si>
  <si>
    <t>Shares used in computing earnings per share:</t>
  </si>
  <si>
    <t>Years ended September,</t>
  </si>
  <si>
    <t>CONSOLIDATED BALANCE SHEETS</t>
  </si>
  <si>
    <t>Current assets:</t>
  </si>
  <si>
    <t>Cash and cash equivalents</t>
  </si>
  <si>
    <t>Marketable securities</t>
  </si>
  <si>
    <t>Accounts receivable, net</t>
  </si>
  <si>
    <t>Inventories</t>
  </si>
  <si>
    <t>Other current assets</t>
  </si>
  <si>
    <t>Total current assets</t>
  </si>
  <si>
    <t>Property, plant and equipment, net</t>
  </si>
  <si>
    <t>Total assets</t>
  </si>
  <si>
    <t>Current liabilities:</t>
  </si>
  <si>
    <t>Accounts payable</t>
  </si>
  <si>
    <t>Other current liabilities</t>
  </si>
  <si>
    <t>Deferred revenue</t>
  </si>
  <si>
    <t>Commercial paper</t>
  </si>
  <si>
    <t>Term debt</t>
  </si>
  <si>
    <t>Total current liabilities</t>
  </si>
  <si>
    <t>Total liabilities</t>
  </si>
  <si>
    <t>Shareholders’ equity:</t>
  </si>
  <si>
    <t>Retained earnings</t>
  </si>
  <si>
    <t>Accumulated other comprehensive income/(loss)</t>
  </si>
  <si>
    <t>Total shareholders’ equity</t>
  </si>
  <si>
    <t>Total liabilities and shareholders’ equity</t>
  </si>
  <si>
    <t>Vendor non trade receivables</t>
  </si>
  <si>
    <t>Non current assets:</t>
  </si>
  <si>
    <t>Other non current assets</t>
  </si>
  <si>
    <t>Total non current assets</t>
  </si>
  <si>
    <t>Non current liabilities:</t>
  </si>
  <si>
    <t>Other non current liabilities</t>
  </si>
  <si>
    <t>Total non current liabilities</t>
  </si>
  <si>
    <t>Common stock and additional paid in capital, $0.00001 par value: 12,600,000 shares authorized; 4,443,236 and 4,754,986 shares issued and outstanding, respectively</t>
  </si>
  <si>
    <t>CONSOLIDATED STATEMENTS OF CASH FLOWS</t>
  </si>
  <si>
    <t>Cash, cash equivalents and restricted cash, beginning balances</t>
  </si>
  <si>
    <t>Operating activities:</t>
  </si>
  <si>
    <t>Adjustments to reconcile net income to cash generated by operating</t>
  </si>
  <si>
    <t>Depreciation and amortization</t>
  </si>
  <si>
    <t>Deferred income tax expense/(benefit)</t>
  </si>
  <si>
    <t>Other</t>
  </si>
  <si>
    <t>Changes in operating assets and liabilities:</t>
  </si>
  <si>
    <t>Cash generated by operating activities</t>
  </si>
  <si>
    <t>Investing activities:</t>
  </si>
  <si>
    <t>Purchases of marketable securities</t>
  </si>
  <si>
    <t>Proceeds from maturities of marketable securities</t>
  </si>
  <si>
    <t>Proceeds from sales of marketable securities</t>
  </si>
  <si>
    <t>Payments for acquisition of property, plant and equipment</t>
  </si>
  <si>
    <t>Payments made in connection with business acquisitions, net</t>
  </si>
  <si>
    <t>Cash generated by/(used in) investing activities</t>
  </si>
  <si>
    <t>Financing activities:</t>
  </si>
  <si>
    <t>Payments for dividends and dividend equivalents</t>
  </si>
  <si>
    <t>Repurchases of common stock</t>
  </si>
  <si>
    <t>Proceeds from issuance of term debt, net</t>
  </si>
  <si>
    <t>Repayments of term debt</t>
  </si>
  <si>
    <t>Proceeds from/(Repayments of) commercial paper, net</t>
  </si>
  <si>
    <t>Cash used in financing activities</t>
  </si>
  <si>
    <t>Increase/(Decrease) in cash, cash equivalents and restricted</t>
  </si>
  <si>
    <t>Cash, cash equivalents and restricted cash, ending balances</t>
  </si>
  <si>
    <t>Supplemental cash flow disclosure:</t>
  </si>
  <si>
    <t>Cash paid for income taxes, net</t>
  </si>
  <si>
    <t>Cash paid for interest</t>
  </si>
  <si>
    <t>Share based compensation expense</t>
  </si>
  <si>
    <t>Other current and non current assets</t>
  </si>
  <si>
    <t>Other current and non current liabilities</t>
  </si>
  <si>
    <t>Payments for taxes related to net share settlement of equity awards</t>
  </si>
  <si>
    <t>Instructions</t>
  </si>
  <si>
    <t>https://investor.apple.com/investor-relations/default.aspx</t>
  </si>
  <si>
    <t>Gross profits</t>
  </si>
  <si>
    <t>Each operating expenses</t>
  </si>
  <si>
    <t>Main line items of the balance sheet</t>
  </si>
  <si>
    <t>You are required to calculate margins/ as a % of net sales for the following:</t>
  </si>
  <si>
    <t>Net profit</t>
  </si>
  <si>
    <t>Income tax rate</t>
  </si>
  <si>
    <t>Capex as a percentage of sales</t>
  </si>
  <si>
    <t>Capex as a percentage of fixed assets</t>
  </si>
  <si>
    <t>You are required to perform a ratio analysis in excel using the information provided from this financial statements</t>
  </si>
  <si>
    <t>You are required to calculate the following additional items</t>
  </si>
  <si>
    <t>Liquidity</t>
  </si>
  <si>
    <t>Current ratio</t>
  </si>
  <si>
    <t>Quick Ratio</t>
  </si>
  <si>
    <t>Cash Ratio</t>
  </si>
  <si>
    <t>Defensive Interval</t>
  </si>
  <si>
    <t>Inventory Days</t>
  </si>
  <si>
    <t>Payable Days</t>
  </si>
  <si>
    <t>Receivable Days</t>
  </si>
  <si>
    <t>Net trading cycle</t>
  </si>
  <si>
    <t>Working Capital as a % of Sales</t>
  </si>
  <si>
    <t>Working Capital</t>
  </si>
  <si>
    <t>Profitability</t>
  </si>
  <si>
    <t>EBITDA margin</t>
  </si>
  <si>
    <t>EBITDA</t>
  </si>
  <si>
    <t>EBIT margin</t>
  </si>
  <si>
    <t>EBIT</t>
  </si>
  <si>
    <t>Net margin</t>
  </si>
  <si>
    <t>Solvency/ debt management</t>
  </si>
  <si>
    <t>Debt to equity (D/E)</t>
  </si>
  <si>
    <t>Debt to total assets</t>
  </si>
  <si>
    <t>Long-term debt to capital</t>
  </si>
  <si>
    <t>Times interest earned</t>
  </si>
  <si>
    <t>Debt coverage</t>
  </si>
  <si>
    <t>Free cash flow (FCFE) per share</t>
  </si>
  <si>
    <t>FCFE</t>
  </si>
  <si>
    <t>Asset utilization</t>
  </si>
  <si>
    <t>Total asset turnover</t>
  </si>
  <si>
    <t>Fixed asset turnover</t>
  </si>
  <si>
    <t>Inventory turnover</t>
  </si>
  <si>
    <t>Return on assets (ROA)</t>
  </si>
  <si>
    <t>Investor/market ratios</t>
  </si>
  <si>
    <t>Price to equity (P/E)</t>
  </si>
  <si>
    <t>Earnings per share (EPS)</t>
  </si>
  <si>
    <t>Price to book value (PBV)</t>
  </si>
  <si>
    <t>Book value per share (BV)</t>
  </si>
  <si>
    <t>Dividend payout ratio</t>
  </si>
  <si>
    <t>Dividend per share</t>
  </si>
  <si>
    <t>Dividend yield</t>
  </si>
  <si>
    <t>Return on equity (ROE)</t>
  </si>
  <si>
    <t>Return on capital employed (ROCE)</t>
  </si>
  <si>
    <t>Enterprise value to EBITDA (EV/EBITDA)</t>
  </si>
  <si>
    <t>Enterprise value (EV)</t>
  </si>
  <si>
    <t>Sheet contains the financial statements of Apple Inc. extracted from the most recent annual report:</t>
  </si>
  <si>
    <t>As at September,</t>
  </si>
  <si>
    <t>https://www.bloomberg.com/quote/AAPL:US</t>
  </si>
  <si>
    <t>* Market information like share price should be obtained from bloomberg.com from the particular day's closing price</t>
  </si>
  <si>
    <t>Sales (each category and net sales)</t>
  </si>
  <si>
    <t>COGS (Cost of goods sold)</t>
  </si>
  <si>
    <t>All of the above ratios should be calculated in the "List of Ratios" tab</t>
  </si>
  <si>
    <t>The ratios that should be calculated are listed in the ratios tab</t>
  </si>
  <si>
    <t>In addition to the above, you are required to calculate the growth rates for the following:</t>
  </si>
  <si>
    <t>DIO</t>
  </si>
  <si>
    <t>DSO</t>
  </si>
  <si>
    <t>W/C</t>
  </si>
  <si>
    <t>NWC</t>
  </si>
  <si>
    <t>Net borrowing</t>
  </si>
  <si>
    <t>capex</t>
  </si>
  <si>
    <t>FCFE per share</t>
  </si>
  <si>
    <t>ROA</t>
  </si>
  <si>
    <t>Ending assets?</t>
  </si>
  <si>
    <t>Market share price</t>
  </si>
  <si>
    <t>P/E</t>
  </si>
  <si>
    <t>Formulas:</t>
  </si>
  <si>
    <t>current ratio= current assets/current liabilties</t>
  </si>
  <si>
    <t>quick ratio= cash&amp;cash equivalents+accountsrecievable/current liabilities</t>
  </si>
  <si>
    <t>cash ratio= cash&amp;cash equivalents/short term liabilities</t>
  </si>
  <si>
    <t>defensive internal ratio= current assets/average daily expenditures</t>
  </si>
  <si>
    <t>inventory days= average inventory/COGS*365 days</t>
  </si>
  <si>
    <t>reicievable days= average accounts recievable/revenue*365 days</t>
  </si>
  <si>
    <t xml:space="preserve"> </t>
  </si>
  <si>
    <t>DIO= average or ending inventory/COGS*365 days</t>
  </si>
  <si>
    <t>DSO= average or ending accounts recievable/revenue*365 days</t>
  </si>
  <si>
    <t>DPO= average or ending accounts recievable/COGS*365 days</t>
  </si>
  <si>
    <t>working capital as a % of sales= working capital/gross sales*100</t>
  </si>
  <si>
    <t>working capital= current assets-current liabilities</t>
  </si>
  <si>
    <t>gross margin= gross profit/revenue</t>
  </si>
  <si>
    <t>gross profit= net revenue-COGS</t>
  </si>
  <si>
    <t>EBITDA= earnings before interest, taxes, demorilisation and ammortisation</t>
  </si>
  <si>
    <t>EBITDA margin= EBITDA/revenue</t>
  </si>
  <si>
    <t>EBIT= earnings before interest and tax</t>
  </si>
  <si>
    <t>EBIT margin= total revenue-COGS-operating expenses</t>
  </si>
  <si>
    <t>debt to equity= total liabilities/total shareholder equity</t>
  </si>
  <si>
    <t>debt to total assets= total debts/total assets</t>
  </si>
  <si>
    <t>long term debt to capital= long term debt/total available capital</t>
  </si>
  <si>
    <t>times interest earned= income/total interest payable on bonds or other forms of debt</t>
  </si>
  <si>
    <t>debt coverage= net operating income/ debt service (inc. principal and interest)</t>
  </si>
  <si>
    <t>FCFE= net income+D&amp;A-increase in NWC-CAPEX+net borrowing</t>
  </si>
  <si>
    <t>total asset turnover= net sales/average total assets</t>
  </si>
  <si>
    <t>fixed asset turnover= net revenue/average fixed assets</t>
  </si>
  <si>
    <t>inventory turnover ratio= COGS/average inventory</t>
  </si>
  <si>
    <t>return on assets= net income/average total assets</t>
  </si>
  <si>
    <t>price to equity= current stock price/earnings per share</t>
  </si>
  <si>
    <t>earnings per share= net income-preferred dividends/weighted average of shares outstanding</t>
  </si>
  <si>
    <t>price to book value= market capitilisation/ book value of equity</t>
  </si>
  <si>
    <t>book value per share= (shareholders equity-preferred equity)/weighted average common of shares outstanding</t>
  </si>
  <si>
    <t>common shares outstanding= company market capitilisation/current share price</t>
  </si>
  <si>
    <t>dividend payout ratio= dividend per share/earnings per share</t>
  </si>
  <si>
    <t>dividend per share= annual dividend/ weighted average of outstanding shares</t>
  </si>
  <si>
    <t>dividend yield= dividend/company share price</t>
  </si>
  <si>
    <t>return on equity= net income/average total equity</t>
  </si>
  <si>
    <t>return on capital employed= NOPAT/average capital employed</t>
  </si>
  <si>
    <t>return on assets= company's earnings (after tax)/total assets</t>
  </si>
  <si>
    <t>enterprise value to EBITDA= enterprise value/EBITDA</t>
  </si>
  <si>
    <t>enterprise value= equity value+net debt</t>
  </si>
  <si>
    <t>DPO</t>
  </si>
  <si>
    <t>total available capital</t>
  </si>
  <si>
    <t>net margin= net income/revenue</t>
  </si>
  <si>
    <t>remove row 85 from formula, only the inventory balance in the balance sheet should be considered</t>
  </si>
  <si>
    <t>remove row 88 from formula, only the payables balance in the balance sheet should be considered</t>
  </si>
  <si>
    <t>remove row 84 from formula, only the receivables balance in the balance sheet should be considered</t>
  </si>
  <si>
    <t>remove *100 and use the % formatting instead</t>
  </si>
  <si>
    <t>Operating Income (in income statement) + D&amp;A in cash flow</t>
  </si>
  <si>
    <t>EBIT/Sales revenue</t>
  </si>
  <si>
    <t>Operating income in income statement</t>
  </si>
  <si>
    <t>EBIT/(interest paid + debt repayment)  debt repayment can be found in cash flow statement</t>
  </si>
  <si>
    <t>free cash flow per share= free cash flow/diluted number of shares</t>
  </si>
  <si>
    <t>change in WC can be found in cash flow and Capex is purchase of PPE in cash flow</t>
  </si>
  <si>
    <t>sales/total assets</t>
  </si>
  <si>
    <t>sales/PPE</t>
  </si>
  <si>
    <t>COGS/Inventory</t>
  </si>
  <si>
    <t xml:space="preserve"> current stock price/earnings per share</t>
  </si>
  <si>
    <t>net income/diluted number of shares (at the bottom of income statement)</t>
  </si>
  <si>
    <t>EPS/ BVPS</t>
  </si>
  <si>
    <t>Total shareholder equity/diluted number of shares</t>
  </si>
  <si>
    <t>DPS/EPS</t>
  </si>
  <si>
    <t>Dividend paid(can be found in cash flow)/diluted number of shares</t>
  </si>
  <si>
    <t>DPS/Share price</t>
  </si>
  <si>
    <t>Net income/total shareholder equity</t>
  </si>
  <si>
    <t>EBIT/(term debt + shareholder equity)</t>
  </si>
  <si>
    <t>EV/EBIDTA (calculated from above)</t>
  </si>
  <si>
    <t>net trading cycle= day inventory outstanding days sales outstanding-days payable outstanding</t>
  </si>
  <si>
    <t>Term debt (under non-current liabilities)/Total shareholder equity</t>
  </si>
  <si>
    <t>Term debt (under non-current liabilities)/Total assets</t>
  </si>
  <si>
    <t>Term debt (under non-current liabilities)/Property plant and equipment (under non-current assets)</t>
  </si>
  <si>
    <t>Net income/total assets</t>
  </si>
  <si>
    <t>market cap (share price*diluted number of shares)+Term debt in balance sheet - Cash in balance sheet</t>
  </si>
  <si>
    <t>Please calculate the below ratios</t>
  </si>
  <si>
    <t>Net Sales</t>
  </si>
  <si>
    <t>Sales (each category and net sales):</t>
  </si>
  <si>
    <t>Please fix the formula for 2021 &amp; 2022 according to the formula in the highlighted cell</t>
  </si>
  <si>
    <t>Denominator should be share count non EPS</t>
  </si>
  <si>
    <t>Link Capex with - sign to make the - sign in cashflow positive</t>
  </si>
  <si>
    <t>Note that the three statements are reported in millions while the share count is reported in absolute number, so divide share count by 1000 within brackets</t>
  </si>
  <si>
    <t>Denominator should be share count, not EPS. Note that the three statements are reported in millions while the share count is reported in absolute number, so divide share count by 1000 within brackets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</si>
</sst>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_(* #,##0.00_);_(* \(#,##0.00\);_(* &quot;-&quot;??_);_(@_)"/>
    <numFmt numFmtId="165" formatCode="_(* #,##0_);_(* \(#,##0\);_(* &quot;-&quot;??_);_(@_)"/>
    <numFmt numFmtId="166" formatCode="0.0"/>
    <numFmt numFmtId="167" formatCode="0.0%"/>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color theme="0"/>
      <name val="Calibri"/>
      <family val="2"/>
      <scheme val="minor"/>
    </font>
    <font>
      <b/>
      <sz val="20"/>
      <color theme="0"/>
      <name val="Calibri"/>
      <family val="2"/>
      <scheme val="minor"/>
    </font>
    <font>
      <u/>
      <sz val="11"/>
      <color theme="10"/>
      <name val="Calibri"/>
      <family val="2"/>
      <scheme val="minor"/>
    </font>
    <font>
      <sz val="20"/>
      <color theme="0"/>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s>
  <borders count="4">
    <border>
      <left/>
      <right/>
      <top/>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cellStyleXfs>
  <cellXfs count="45">
    <xf numFmtId="0" fontId="0" fillId="0" borderId="0" xfId="0"/>
    <xf numFmtId="0" fontId="0" fillId="0" borderId="0" xfId="0" applyAlignment="1">
      <alignment horizontal="left" indent="1"/>
    </xf>
    <xf numFmtId="3" fontId="0" fillId="0" borderId="0" xfId="0" applyNumberFormat="1"/>
    <xf numFmtId="0" fontId="0" fillId="0" borderId="0" xfId="0" applyAlignment="1">
      <alignment horizontal="left" indent="2"/>
    </xf>
    <xf numFmtId="0" fontId="3" fillId="2" borderId="0" xfId="0" applyFont="1" applyFill="1"/>
    <xf numFmtId="0" fontId="4" fillId="2" borderId="0" xfId="0" applyFont="1" applyFill="1"/>
    <xf numFmtId="0" fontId="5" fillId="2" borderId="0" xfId="0" applyFont="1" applyFill="1" applyAlignment="1">
      <alignment vertical="center"/>
    </xf>
    <xf numFmtId="0" fontId="2" fillId="0" borderId="0" xfId="0" applyFont="1"/>
    <xf numFmtId="0" fontId="2" fillId="0" borderId="1" xfId="0" applyFont="1" applyBorder="1"/>
    <xf numFmtId="0" fontId="2" fillId="0" borderId="2" xfId="0" applyFont="1" applyBorder="1"/>
    <xf numFmtId="0" fontId="0" fillId="4" borderId="0" xfId="0" applyFill="1"/>
    <xf numFmtId="0" fontId="2" fillId="0" borderId="0" xfId="0" applyFont="1" applyAlignment="1">
      <alignment horizontal="left" indent="1"/>
    </xf>
    <xf numFmtId="165" fontId="0" fillId="0" borderId="0" xfId="1" applyNumberFormat="1" applyFont="1"/>
    <xf numFmtId="165" fontId="2" fillId="0" borderId="1" xfId="1" applyNumberFormat="1" applyFont="1" applyBorder="1"/>
    <xf numFmtId="165" fontId="2" fillId="0" borderId="2" xfId="1" applyNumberFormat="1" applyFont="1" applyBorder="1"/>
    <xf numFmtId="165" fontId="2" fillId="0" borderId="0" xfId="1" applyNumberFormat="1" applyFont="1"/>
    <xf numFmtId="0" fontId="6" fillId="0" borderId="0" xfId="2" applyAlignment="1">
      <alignment horizontal="left" indent="1"/>
    </xf>
    <xf numFmtId="0" fontId="2" fillId="0" borderId="0" xfId="0" applyFont="1" applyAlignment="1">
      <alignment horizontal="left"/>
    </xf>
    <xf numFmtId="166" fontId="0" fillId="0" borderId="0" xfId="0" applyNumberFormat="1"/>
    <xf numFmtId="0" fontId="3" fillId="2" borderId="0" xfId="0" applyFont="1" applyFill="1" applyAlignment="1">
      <alignment horizontal="center"/>
    </xf>
    <xf numFmtId="0" fontId="7" fillId="2" borderId="0" xfId="0" applyFont="1" applyFill="1" applyAlignment="1">
      <alignment horizontal="left"/>
    </xf>
    <xf numFmtId="165" fontId="0" fillId="0" borderId="3" xfId="1" applyNumberFormat="1" applyFont="1" applyBorder="1"/>
    <xf numFmtId="0" fontId="2" fillId="0" borderId="3" xfId="0" applyFont="1" applyBorder="1" applyAlignment="1">
      <alignment horizontal="left"/>
    </xf>
    <xf numFmtId="165" fontId="0" fillId="0" borderId="0" xfId="0" applyNumberFormat="1"/>
    <xf numFmtId="43" fontId="0" fillId="0" borderId="0" xfId="0" applyNumberFormat="1"/>
    <xf numFmtId="0" fontId="0" fillId="5" borderId="0" xfId="0" applyFill="1"/>
    <xf numFmtId="2" fontId="0" fillId="0" borderId="0" xfId="1" applyNumberFormat="1" applyFont="1"/>
    <xf numFmtId="2" fontId="0" fillId="0" borderId="0" xfId="0" applyNumberFormat="1"/>
    <xf numFmtId="9" fontId="0" fillId="0" borderId="0" xfId="3" applyFont="1"/>
    <xf numFmtId="167" fontId="0" fillId="0" borderId="0" xfId="3" applyNumberFormat="1" applyFont="1"/>
    <xf numFmtId="0" fontId="2" fillId="0" borderId="0" xfId="0" applyFont="1" applyAlignment="1">
      <alignment horizontal="center"/>
    </xf>
    <xf numFmtId="165" fontId="0" fillId="6" borderId="0" xfId="1" applyNumberFormat="1" applyFont="1" applyFill="1"/>
    <xf numFmtId="165" fontId="0" fillId="0" borderId="0" xfId="1" applyNumberFormat="1" applyFont="1" applyFill="1"/>
    <xf numFmtId="2" fontId="0" fillId="6" borderId="0" xfId="0" applyNumberFormat="1" applyFill="1"/>
    <xf numFmtId="0" fontId="2" fillId="0" borderId="0" xfId="0" applyFont="1" applyAlignment="1">
      <alignment horizontal="center"/>
    </xf>
    <xf numFmtId="0" fontId="2" fillId="3" borderId="0" xfId="0" applyFont="1" applyFill="1" applyAlignment="1">
      <alignment horizontal="center"/>
    </xf>
    <xf numFmtId="164" fontId="0" fillId="0" borderId="0" xfId="1" applyFont="1" applyFill="1"/>
    <xf numFmtId="0" fontId="3" fillId="0" borderId="0" xfId="0" applyFont="1" applyFill="1" applyAlignment="1">
      <alignment horizontal="center"/>
    </xf>
    <xf numFmtId="0" fontId="2" fillId="0" borderId="0" xfId="0" applyFont="1" applyFill="1" applyAlignment="1">
      <alignment horizontal="center"/>
    </xf>
    <xf numFmtId="0" fontId="2" fillId="0" borderId="0" xfId="0" applyFont="1" applyFill="1"/>
    <xf numFmtId="0" fontId="0" fillId="0" borderId="0" xfId="0" applyFill="1"/>
    <xf numFmtId="2" fontId="0" fillId="0" borderId="0" xfId="0" applyNumberFormat="1" applyFill="1"/>
    <xf numFmtId="9" fontId="0" fillId="0" borderId="0" xfId="3" applyFont="1" applyFill="1"/>
    <xf numFmtId="167" fontId="0" fillId="0" borderId="0" xfId="3" applyNumberFormat="1" applyFont="1" applyFill="1"/>
    <xf numFmtId="43" fontId="0" fillId="0" borderId="0" xfId="0" applyNumberFormat="1" applyFill="1"/>
  </cellXfs>
  <cellStyles count="4">
    <cellStyle name="Comma" xfId="1" builtinId="3"/>
    <cellStyle name="Hyperlink" xfId="2" builtinId="8"/>
    <cellStyle name="Normal" xfId="0" builtinId="0"/>
    <cellStyle name="Percent" xfId="3" builtinId="5"/>
  </cellStyles>
  <dxfs count="0"/>
  <tableStyles count="1" defaultTableStyle="TableStyleMedium2" defaultPivotStyle="PivotStyleLight16">
    <tableStyle name="Invisible" pivot="0" table="0" count="0" xr9:uid="{FC5AD4E2-3F0D-4150-AFD5-22F8D6D0F5F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loomberg.com/quote/AAPL:US" TargetMode="External"/><Relationship Id="rId1" Type="http://schemas.openxmlformats.org/officeDocument/2006/relationships/hyperlink" Target="https://investor.apple.com/investor-relations/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9"/>
  <sheetViews>
    <sheetView workbookViewId="0">
      <selection activeCell="A14" sqref="A14:A24"/>
    </sheetView>
  </sheetViews>
  <sheetFormatPr defaultRowHeight="14.4" x14ac:dyDescent="0.3"/>
  <cols>
    <col min="1" max="1" width="104.5546875" customWidth="1"/>
  </cols>
  <sheetData>
    <row r="1" spans="1:1" ht="23.4" x14ac:dyDescent="0.45">
      <c r="A1" s="5" t="s">
        <v>87</v>
      </c>
    </row>
    <row r="3" spans="1:1" x14ac:dyDescent="0.3">
      <c r="A3" s="7" t="s">
        <v>141</v>
      </c>
    </row>
    <row r="4" spans="1:1" x14ac:dyDescent="0.3">
      <c r="A4" s="16" t="s">
        <v>88</v>
      </c>
    </row>
    <row r="5" spans="1:1" x14ac:dyDescent="0.3">
      <c r="A5" s="7" t="s">
        <v>97</v>
      </c>
    </row>
    <row r="6" spans="1:1" x14ac:dyDescent="0.3">
      <c r="A6" s="1" t="s">
        <v>148</v>
      </c>
    </row>
    <row r="7" spans="1:1" x14ac:dyDescent="0.3">
      <c r="A7" s="1"/>
    </row>
    <row r="8" spans="1:1" x14ac:dyDescent="0.3">
      <c r="A8" s="17" t="s">
        <v>149</v>
      </c>
    </row>
    <row r="9" spans="1:1" x14ac:dyDescent="0.3">
      <c r="A9" s="1" t="s">
        <v>145</v>
      </c>
    </row>
    <row r="10" spans="1:1" x14ac:dyDescent="0.3">
      <c r="A10" s="1" t="s">
        <v>89</v>
      </c>
    </row>
    <row r="11" spans="1:1" x14ac:dyDescent="0.3">
      <c r="A11" s="1" t="s">
        <v>90</v>
      </c>
    </row>
    <row r="12" spans="1:1" x14ac:dyDescent="0.3">
      <c r="A12" s="1" t="s">
        <v>91</v>
      </c>
    </row>
    <row r="13" spans="1:1" x14ac:dyDescent="0.3">
      <c r="A13" s="1"/>
    </row>
    <row r="14" spans="1:1" x14ac:dyDescent="0.3">
      <c r="A14" s="17" t="s">
        <v>92</v>
      </c>
    </row>
    <row r="15" spans="1:1" x14ac:dyDescent="0.3">
      <c r="A15" s="1" t="s">
        <v>146</v>
      </c>
    </row>
    <row r="16" spans="1:1" x14ac:dyDescent="0.3">
      <c r="A16" s="1" t="s">
        <v>89</v>
      </c>
    </row>
    <row r="17" spans="1:1" x14ac:dyDescent="0.3">
      <c r="A17" s="1" t="s">
        <v>90</v>
      </c>
    </row>
    <row r="18" spans="1:1" x14ac:dyDescent="0.3">
      <c r="A18" s="1" t="s">
        <v>14</v>
      </c>
    </row>
    <row r="19" spans="1:1" x14ac:dyDescent="0.3">
      <c r="A19" s="1" t="s">
        <v>93</v>
      </c>
    </row>
    <row r="20" spans="1:1" x14ac:dyDescent="0.3">
      <c r="A20" s="1"/>
    </row>
    <row r="21" spans="1:1" x14ac:dyDescent="0.3">
      <c r="A21" s="17" t="s">
        <v>98</v>
      </c>
    </row>
    <row r="22" spans="1:1" x14ac:dyDescent="0.3">
      <c r="A22" s="1" t="s">
        <v>94</v>
      </c>
    </row>
    <row r="23" spans="1:1" x14ac:dyDescent="0.3">
      <c r="A23" s="1" t="s">
        <v>95</v>
      </c>
    </row>
    <row r="24" spans="1:1" x14ac:dyDescent="0.3">
      <c r="A24" s="1" t="s">
        <v>96</v>
      </c>
    </row>
    <row r="25" spans="1:1" x14ac:dyDescent="0.3">
      <c r="A25" s="1"/>
    </row>
    <row r="26" spans="1:1" x14ac:dyDescent="0.3">
      <c r="A26" s="17" t="s">
        <v>144</v>
      </c>
    </row>
    <row r="27" spans="1:1" x14ac:dyDescent="0.3">
      <c r="A27" s="16" t="s">
        <v>143</v>
      </c>
    </row>
    <row r="29" spans="1:1" x14ac:dyDescent="0.3">
      <c r="A29" s="7" t="s">
        <v>147</v>
      </c>
    </row>
  </sheetData>
  <hyperlinks>
    <hyperlink ref="A4" r:id="rId1" xr:uid="{00000000-0004-0000-0000-000000000000}"/>
    <hyperlink ref="A27"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97"/>
  <sheetViews>
    <sheetView tabSelected="1" topLeftCell="A25" workbookViewId="0">
      <selection activeCell="F39" sqref="F39"/>
    </sheetView>
  </sheetViews>
  <sheetFormatPr defaultRowHeight="14.4" x14ac:dyDescent="0.3"/>
  <cols>
    <col min="1" max="1" width="4.6640625" customWidth="1"/>
    <col min="2" max="2" width="77.109375" bestFit="1" customWidth="1"/>
    <col min="3" max="4" width="12.109375" bestFit="1" customWidth="1"/>
    <col min="5" max="5" width="12" bestFit="1" customWidth="1"/>
    <col min="6" max="6" width="23.109375" style="40" customWidth="1"/>
    <col min="7" max="7" width="73" bestFit="1" customWidth="1"/>
    <col min="8" max="8" width="85.5546875" bestFit="1" customWidth="1"/>
    <col min="11" max="11" width="78.88671875" bestFit="1" customWidth="1"/>
  </cols>
  <sheetData>
    <row r="1" spans="1:12" ht="60" customHeight="1" x14ac:dyDescent="0.5">
      <c r="A1" s="6"/>
      <c r="B1" s="20" t="s">
        <v>0</v>
      </c>
      <c r="C1" s="19"/>
      <c r="D1" s="19"/>
      <c r="E1" s="19"/>
      <c r="F1" s="37"/>
      <c r="G1" s="19"/>
      <c r="H1" s="19"/>
      <c r="I1" s="19"/>
      <c r="J1" s="19"/>
      <c r="K1" s="19"/>
      <c r="L1" s="19"/>
    </row>
    <row r="2" spans="1:12" x14ac:dyDescent="0.3">
      <c r="C2" s="34" t="s">
        <v>23</v>
      </c>
      <c r="D2" s="34"/>
      <c r="E2" s="34"/>
      <c r="F2" s="38"/>
      <c r="G2" s="30"/>
    </row>
    <row r="3" spans="1:12" x14ac:dyDescent="0.3">
      <c r="C3" s="7">
        <f>+'Financial Statements'!B4</f>
        <v>2022</v>
      </c>
      <c r="D3" s="7">
        <f>+'Financial Statements'!C4</f>
        <v>2021</v>
      </c>
      <c r="E3" s="7">
        <f>+'Financial Statements'!D4</f>
        <v>2020</v>
      </c>
      <c r="F3" s="39"/>
      <c r="G3" s="7"/>
      <c r="K3" t="s">
        <v>161</v>
      </c>
    </row>
    <row r="4" spans="1:12" x14ac:dyDescent="0.3">
      <c r="A4" s="18">
        <v>1</v>
      </c>
      <c r="B4" s="7" t="s">
        <v>99</v>
      </c>
      <c r="K4" t="s">
        <v>162</v>
      </c>
    </row>
    <row r="5" spans="1:12" x14ac:dyDescent="0.3">
      <c r="A5" s="18">
        <f>+A4+0.1</f>
        <v>1.1000000000000001</v>
      </c>
      <c r="B5" s="1" t="s">
        <v>100</v>
      </c>
      <c r="C5" s="27">
        <f>'Financial Statements'!B42/'Financial Statements'!B56</f>
        <v>0.87935602862672257</v>
      </c>
      <c r="D5" s="27">
        <f>'Financial Statements'!C42/'Financial Statements'!C56</f>
        <v>1.0745531195957954</v>
      </c>
      <c r="E5" s="27">
        <f>'Financial Statements'!D42/'Financial Statements'!D56</f>
        <v>1.3636044481554577</v>
      </c>
      <c r="F5" s="41"/>
      <c r="G5" s="27"/>
      <c r="K5" t="s">
        <v>163</v>
      </c>
    </row>
    <row r="6" spans="1:12" x14ac:dyDescent="0.3">
      <c r="A6" s="18">
        <f t="shared" ref="A6:A13" si="0">+A5+0.1</f>
        <v>1.2000000000000002</v>
      </c>
      <c r="B6" s="1" t="s">
        <v>101</v>
      </c>
      <c r="C6" s="27"/>
      <c r="D6" s="27">
        <f>('Financial Statements'!C36+'Financial Statements'!C38)/'Financial Statements'!C56</f>
        <v>0.48786668898080188</v>
      </c>
      <c r="E6" s="27">
        <f>('Financial Statements'!D36+'Financial Statements'!D38)/'Financial Statements'!D56</f>
        <v>0.51366327614999241</v>
      </c>
      <c r="F6" s="41"/>
      <c r="G6" s="27"/>
      <c r="K6" t="s">
        <v>164</v>
      </c>
    </row>
    <row r="7" spans="1:12" x14ac:dyDescent="0.3">
      <c r="A7" s="18">
        <f t="shared" si="0"/>
        <v>1.3000000000000003</v>
      </c>
      <c r="B7" s="1" t="s">
        <v>102</v>
      </c>
      <c r="C7" s="27">
        <f>'Financial Statements'!B42/'Financial Statements'!B62</f>
        <v>0.44823773598646732</v>
      </c>
      <c r="D7" s="27">
        <f>'Financial Statements'!C42/'Financial Statements'!C62</f>
        <v>0.46832365444997082</v>
      </c>
      <c r="E7" s="27">
        <f>'Financial Statements'!D42/'Financial Statements'!D62</f>
        <v>0.55584434671957739</v>
      </c>
      <c r="F7" s="41"/>
      <c r="G7" s="27"/>
      <c r="K7" t="s">
        <v>165</v>
      </c>
    </row>
    <row r="8" spans="1:12" x14ac:dyDescent="0.3">
      <c r="A8" s="18">
        <f t="shared" si="0"/>
        <v>1.4000000000000004</v>
      </c>
      <c r="B8" s="1" t="s">
        <v>103</v>
      </c>
      <c r="C8" s="27">
        <f>'Financial Statements'!B42/('Financial Statements'!B12+'Financial Statements'!B17-'Financial Statements'!B79/365)</f>
        <v>0.49263157686989129</v>
      </c>
      <c r="D8" s="27">
        <f>'Financial Statements'!C42/('Financial Statements'!C12+'Financial Statements'!C17-'Financial Statements'!B79/365)</f>
        <v>0.52498548306996773</v>
      </c>
      <c r="E8" s="27">
        <f>'Financial Statements'!D42/('Financial Statements'!D12+'Financial Statements'!D17-'Financial Statements'!D79/365)</f>
        <v>0.69027507823574485</v>
      </c>
      <c r="F8" s="41"/>
      <c r="G8" s="27"/>
      <c r="K8" t="s">
        <v>166</v>
      </c>
    </row>
    <row r="9" spans="1:12" x14ac:dyDescent="0.3">
      <c r="A9" s="18">
        <f t="shared" si="0"/>
        <v>1.5000000000000004</v>
      </c>
      <c r="B9" s="1" t="s">
        <v>104</v>
      </c>
      <c r="C9" s="27">
        <f>'Financial Statements'!B39/'Financial Statements'!B12*365</f>
        <v>8.0756980666171607</v>
      </c>
      <c r="D9" s="27">
        <f>'Financial Statements'!C39/'Financial Statements'!C12*365</f>
        <v>11.27659274770989</v>
      </c>
      <c r="E9" s="27">
        <f>'Financial Statements'!D39/'Financial Statements'!D12*365</f>
        <v>8.7418833562358831</v>
      </c>
      <c r="F9" s="41"/>
      <c r="G9" s="27"/>
      <c r="H9" t="s">
        <v>206</v>
      </c>
      <c r="K9" t="s">
        <v>167</v>
      </c>
    </row>
    <row r="10" spans="1:12" x14ac:dyDescent="0.3">
      <c r="A10" s="18">
        <f t="shared" si="0"/>
        <v>1.6000000000000005</v>
      </c>
      <c r="B10" s="1" t="s">
        <v>105</v>
      </c>
      <c r="C10" s="27">
        <f>'Financial Statements'!B51/'Financial Statements'!B12*365</f>
        <v>104.68527730310539</v>
      </c>
      <c r="D10" s="27">
        <f>'Financial Statements'!C51/'Financial Statements'!C12*365</f>
        <v>93.851071222315596</v>
      </c>
      <c r="E10" s="27">
        <f>'Financial Statements'!D51/'Financial Statements'!D12*365</f>
        <v>91.048189715674198</v>
      </c>
      <c r="F10" s="41"/>
      <c r="G10" s="27"/>
      <c r="H10" t="s">
        <v>207</v>
      </c>
    </row>
    <row r="11" spans="1:12" x14ac:dyDescent="0.3">
      <c r="A11" s="18">
        <f t="shared" si="0"/>
        <v>1.7000000000000006</v>
      </c>
      <c r="B11" s="1" t="s">
        <v>106</v>
      </c>
      <c r="C11" s="27">
        <f>'Financial Statements'!B38/'Financial Statements'!B8*365</f>
        <v>26.087825363656648</v>
      </c>
      <c r="D11" s="27">
        <f>'Financial Statements'!C38/'Financial Statements'!C8*365</f>
        <v>26.219311841713207</v>
      </c>
      <c r="E11" s="27">
        <f>'Financial Statements'!D38/'Financial Statements'!D8*365</f>
        <v>21.433437152796749</v>
      </c>
      <c r="F11" s="41"/>
      <c r="G11" s="27"/>
      <c r="H11" t="s">
        <v>208</v>
      </c>
      <c r="L11" t="s">
        <v>169</v>
      </c>
    </row>
    <row r="12" spans="1:12" x14ac:dyDescent="0.3">
      <c r="A12" s="18">
        <f t="shared" si="0"/>
        <v>1.8000000000000007</v>
      </c>
      <c r="B12" s="1" t="s">
        <v>107</v>
      </c>
      <c r="C12" s="27">
        <f>'Financial Statements'!L40+'Financial Statements'!M40-'Financial Statements'!N40</f>
        <v>-85.948198541937714</v>
      </c>
      <c r="D12" s="27">
        <f>'Financial Statements'!L41+'Financial Statements'!M41-'Financial Statements'!N41</f>
        <v>-77.479069704058475</v>
      </c>
      <c r="E12" s="27">
        <f>'Financial Statements'!L42+'Financial Statements'!M42-'Financial Statements'!N42</f>
        <v>-52.128833207372878</v>
      </c>
      <c r="F12" s="41"/>
      <c r="G12" s="27"/>
      <c r="H12" t="s">
        <v>229</v>
      </c>
      <c r="L12" t="s">
        <v>170</v>
      </c>
    </row>
    <row r="13" spans="1:12" x14ac:dyDescent="0.3">
      <c r="A13" s="18">
        <f t="shared" si="0"/>
        <v>1.9000000000000008</v>
      </c>
      <c r="B13" s="1" t="s">
        <v>108</v>
      </c>
      <c r="C13" s="28">
        <f>C14/'Financial Statements'!B8</f>
        <v>-4.711052727678481E-2</v>
      </c>
      <c r="D13" s="28">
        <f>D14/'Financial Statements'!C8</f>
        <v>2.557289573748623E-2</v>
      </c>
      <c r="E13" s="28">
        <f>E14/'Financial Statements'!D8</f>
        <v>0.13959528623208203</v>
      </c>
      <c r="F13" s="42"/>
      <c r="G13" s="28"/>
      <c r="H13" t="s">
        <v>209</v>
      </c>
      <c r="L13" t="s">
        <v>171</v>
      </c>
    </row>
    <row r="14" spans="1:12" x14ac:dyDescent="0.3">
      <c r="A14" s="18"/>
      <c r="B14" s="3" t="s">
        <v>109</v>
      </c>
      <c r="C14" s="12">
        <f>'Financial Statements'!B42-'Financial Statements'!B56</f>
        <v>-18577</v>
      </c>
      <c r="D14" s="12">
        <f>'Financial Statements'!C42-'Financial Statements'!C56</f>
        <v>9355</v>
      </c>
      <c r="E14" s="12">
        <f>'Financial Statements'!D42-'Financial Statements'!D56</f>
        <v>38321</v>
      </c>
      <c r="F14" s="32"/>
      <c r="G14" s="12"/>
      <c r="K14" t="s">
        <v>172</v>
      </c>
    </row>
    <row r="15" spans="1:12" x14ac:dyDescent="0.3">
      <c r="A15" s="18"/>
      <c r="C15" s="27"/>
      <c r="D15" s="27"/>
      <c r="E15" s="27"/>
      <c r="F15" s="41"/>
      <c r="G15" s="27"/>
      <c r="L15" t="s">
        <v>173</v>
      </c>
    </row>
    <row r="16" spans="1:12" x14ac:dyDescent="0.3">
      <c r="A16" s="18">
        <f>+A4+1</f>
        <v>2</v>
      </c>
      <c r="B16" s="17" t="s">
        <v>110</v>
      </c>
      <c r="C16" s="27"/>
      <c r="D16" s="27"/>
      <c r="E16" s="27"/>
      <c r="F16" s="41"/>
      <c r="G16" s="27"/>
      <c r="K16" t="s">
        <v>174</v>
      </c>
    </row>
    <row r="17" spans="1:12" x14ac:dyDescent="0.3">
      <c r="A17" s="18">
        <f>+A16+0.1</f>
        <v>2.1</v>
      </c>
      <c r="B17" s="1" t="s">
        <v>9</v>
      </c>
      <c r="C17" s="29">
        <f>('Financial Statements'!B8-'Financial Statements'!B12)/'Financial Statements'!B8</f>
        <v>0.43309630561360085</v>
      </c>
      <c r="D17" s="29">
        <f>('Financial Statements'!C8-'Financial Statements'!C12)/'Financial Statements'!C8</f>
        <v>0.41779359625167778</v>
      </c>
      <c r="E17" s="29">
        <f>('Financial Statements'!D8-'Financial Statements'!D12)/'Financial Statements'!D8</f>
        <v>0.38233247727810865</v>
      </c>
      <c r="F17" s="43"/>
      <c r="G17" s="29"/>
      <c r="L17" t="s">
        <v>175</v>
      </c>
    </row>
    <row r="18" spans="1:12" x14ac:dyDescent="0.3">
      <c r="A18" s="18">
        <f>+A17+0.1</f>
        <v>2.2000000000000002</v>
      </c>
      <c r="B18" s="1" t="s">
        <v>111</v>
      </c>
      <c r="C18" s="29">
        <f>C19/'Financial Statements'!B8</f>
        <v>0.3310467428130896</v>
      </c>
      <c r="D18" s="29">
        <f>D19/'Financial Statements'!C8</f>
        <v>0.32866979938056462</v>
      </c>
      <c r="E18" s="29">
        <f>E19/'Financial Statements'!D8</f>
        <v>0.2817478097736007</v>
      </c>
      <c r="F18" s="43"/>
      <c r="G18" s="29"/>
      <c r="K18" t="s">
        <v>176</v>
      </c>
    </row>
    <row r="19" spans="1:12" x14ac:dyDescent="0.3">
      <c r="A19" s="18"/>
      <c r="B19" s="3" t="s">
        <v>112</v>
      </c>
      <c r="C19" s="12">
        <f>'Financial Statements'!B18+'Financial Statements'!B79</f>
        <v>130541</v>
      </c>
      <c r="D19" s="12">
        <f>'Financial Statements'!C18+'Financial Statements'!C79</f>
        <v>120233</v>
      </c>
      <c r="E19" s="12">
        <f>'Financial Statements'!D18+'Financial Statements'!D79</f>
        <v>77344</v>
      </c>
      <c r="F19" s="32"/>
      <c r="G19" s="12"/>
      <c r="H19" t="s">
        <v>210</v>
      </c>
      <c r="L19" t="s">
        <v>177</v>
      </c>
    </row>
    <row r="20" spans="1:12" x14ac:dyDescent="0.3">
      <c r="A20" s="18">
        <f>+A18+0.1</f>
        <v>2.3000000000000003</v>
      </c>
      <c r="B20" s="1" t="s">
        <v>113</v>
      </c>
      <c r="C20" s="28">
        <f>C21/'Financial Statements'!B8</f>
        <v>0.30288744395528594</v>
      </c>
      <c r="D20" s="28">
        <f>D21/'Financial Statements'!C8</f>
        <v>0.29782377527561593</v>
      </c>
      <c r="E20" s="28">
        <f>E21/'Financial Statements'!D8</f>
        <v>0.24147314354406862</v>
      </c>
      <c r="F20" s="42"/>
      <c r="G20" s="28"/>
      <c r="H20" t="s">
        <v>211</v>
      </c>
      <c r="K20" t="s">
        <v>178</v>
      </c>
    </row>
    <row r="21" spans="1:12" x14ac:dyDescent="0.3">
      <c r="A21" s="18"/>
      <c r="B21" s="3" t="s">
        <v>114</v>
      </c>
      <c r="C21" s="12">
        <f>'Financial Statements'!B18</f>
        <v>119437</v>
      </c>
      <c r="D21" s="12">
        <f>'Financial Statements'!C18</f>
        <v>108949</v>
      </c>
      <c r="E21" s="12">
        <f>'Financial Statements'!D18</f>
        <v>66288</v>
      </c>
      <c r="F21" s="32"/>
      <c r="G21" s="12"/>
      <c r="H21" t="s">
        <v>212</v>
      </c>
      <c r="L21" t="s">
        <v>179</v>
      </c>
    </row>
    <row r="22" spans="1:12" x14ac:dyDescent="0.3">
      <c r="A22" s="18">
        <f>+A20+0.1</f>
        <v>2.4000000000000004</v>
      </c>
      <c r="B22" s="1" t="s">
        <v>115</v>
      </c>
      <c r="C22" s="28">
        <f>'Financial Statements'!B22/'Financial Statements'!B8</f>
        <v>0.25309640705199732</v>
      </c>
      <c r="D22" s="28">
        <f>'Financial Statements'!C22/'Financial Statements'!C8</f>
        <v>0.25881793355694238</v>
      </c>
      <c r="E22" s="28">
        <f>'Financial Statements'!D22/'Financial Statements'!D8</f>
        <v>0.20913611278072236</v>
      </c>
      <c r="F22" s="42"/>
      <c r="G22" s="28"/>
      <c r="K22" t="s">
        <v>205</v>
      </c>
    </row>
    <row r="23" spans="1:12" x14ac:dyDescent="0.3">
      <c r="A23" s="18"/>
      <c r="C23" s="27"/>
      <c r="D23" s="27"/>
      <c r="E23" s="27"/>
      <c r="F23" s="41"/>
      <c r="G23" s="27"/>
      <c r="K23" t="s">
        <v>180</v>
      </c>
    </row>
    <row r="24" spans="1:12" x14ac:dyDescent="0.3">
      <c r="A24" s="18">
        <f>+A16+1</f>
        <v>3</v>
      </c>
      <c r="B24" s="7" t="s">
        <v>116</v>
      </c>
      <c r="C24" s="27"/>
      <c r="D24" s="27"/>
      <c r="E24" s="27"/>
      <c r="F24" s="41"/>
      <c r="G24" s="27"/>
      <c r="K24" t="s">
        <v>181</v>
      </c>
    </row>
    <row r="25" spans="1:12" x14ac:dyDescent="0.3">
      <c r="A25" s="18">
        <f>+A24+0.1</f>
        <v>3.1</v>
      </c>
      <c r="B25" s="1" t="s">
        <v>117</v>
      </c>
      <c r="C25" s="27">
        <f>'Financial Statements'!B59/'Financial Statements'!B68</f>
        <v>1.9529325860435744</v>
      </c>
      <c r="D25" s="27">
        <f>'Financial Statements'!C59/'Financial Statements'!C68</f>
        <v>1.729370740212395</v>
      </c>
      <c r="E25" s="27">
        <f>'Financial Statements'!D59/'Financial Statements'!D68</f>
        <v>1.5100782075024104</v>
      </c>
      <c r="F25" s="41"/>
      <c r="G25" s="27"/>
      <c r="H25" t="s">
        <v>230</v>
      </c>
      <c r="K25" t="s">
        <v>182</v>
      </c>
    </row>
    <row r="26" spans="1:12" x14ac:dyDescent="0.3">
      <c r="A26" s="18">
        <f t="shared" ref="A26:A30" si="1">+A25+0.1</f>
        <v>3.2</v>
      </c>
      <c r="B26" s="1" t="s">
        <v>118</v>
      </c>
      <c r="C26" s="27">
        <f>'Financial Statements'!B59/'Financial Statements'!B48</f>
        <v>0.28053181386514719</v>
      </c>
      <c r="D26" s="27">
        <f>'Financial Statements'!C59/'Financial Statements'!C48</f>
        <v>0.31084153366647482</v>
      </c>
      <c r="E26" s="27">
        <f>'Financial Statements'!D59/'Financial Statements'!D48</f>
        <v>0.30463308304105124</v>
      </c>
      <c r="F26" s="41"/>
      <c r="G26" s="27"/>
      <c r="H26" t="s">
        <v>231</v>
      </c>
      <c r="K26" t="s">
        <v>183</v>
      </c>
    </row>
    <row r="27" spans="1:12" x14ac:dyDescent="0.3">
      <c r="A27" s="18">
        <f t="shared" si="1"/>
        <v>3.3000000000000003</v>
      </c>
      <c r="B27" s="1" t="s">
        <v>119</v>
      </c>
      <c r="C27" s="27">
        <f>'Financial Statements'!B59/'Financial Statements'!B45</f>
        <v>2.3496212930645584</v>
      </c>
      <c r="D27" s="27">
        <f>'Financial Statements'!C59/'Financial Statements'!C45</f>
        <v>2.7663793103448278</v>
      </c>
      <c r="E27" s="27">
        <f>'Financial Statements'!D59/'Financial Statements'!D45</f>
        <v>2.683647935592667</v>
      </c>
      <c r="F27" s="41"/>
      <c r="G27" s="27"/>
      <c r="H27" t="s">
        <v>232</v>
      </c>
      <c r="K27" t="s">
        <v>184</v>
      </c>
    </row>
    <row r="28" spans="1:12" x14ac:dyDescent="0.3">
      <c r="A28" s="18">
        <f t="shared" si="1"/>
        <v>3.4000000000000004</v>
      </c>
      <c r="B28" s="1" t="s">
        <v>120</v>
      </c>
      <c r="C28" s="27">
        <f>'Financial Statements'!B22/'Financial Statements'!B114</f>
        <v>34.835253054101223</v>
      </c>
      <c r="D28" s="27">
        <f>'Financial Statements'!C22/'Financial Statements'!C114</f>
        <v>35.236323036844063</v>
      </c>
      <c r="E28" s="27">
        <f>'Financial Statements'!D22/'Financial Statements'!D114</f>
        <v>19.124250499666889</v>
      </c>
      <c r="F28" s="41"/>
      <c r="G28" s="27"/>
      <c r="K28" t="s">
        <v>185</v>
      </c>
    </row>
    <row r="29" spans="1:12" x14ac:dyDescent="0.3">
      <c r="A29" s="18">
        <f t="shared" si="1"/>
        <v>3.5000000000000004</v>
      </c>
      <c r="B29" s="1" t="s">
        <v>121</v>
      </c>
      <c r="C29" s="27">
        <f>C21/('Financial Statements'!B114+'Financial Statements'!B105)</f>
        <v>-17.88514525306978</v>
      </c>
      <c r="D29" s="27">
        <f>D21/('Financial Statements'!C114+'Financial Statements'!C105)</f>
        <v>-17.969487052614216</v>
      </c>
      <c r="E29" s="27">
        <f>E21/('Financial Statements'!D114+'Financial Statements'!D105)</f>
        <v>-6.8856341539420383</v>
      </c>
      <c r="F29" s="41"/>
      <c r="G29" s="27"/>
      <c r="H29" t="s">
        <v>213</v>
      </c>
    </row>
    <row r="30" spans="1:12" x14ac:dyDescent="0.3">
      <c r="A30" s="18">
        <f t="shared" si="1"/>
        <v>3.6000000000000005</v>
      </c>
      <c r="B30" s="1" t="s">
        <v>122</v>
      </c>
      <c r="C30" s="27">
        <f>+(C31/'Financial Statements'!B27)*1000</f>
        <v>6.6209450527236653</v>
      </c>
      <c r="D30" s="27">
        <f>+(D31/'Financial Statements'!C27)*1000</f>
        <v>6.2627565133961056</v>
      </c>
      <c r="E30" s="33">
        <f>+(E31/'Financial Statements'!D27)*1000</f>
        <v>4.4275284188634245</v>
      </c>
      <c r="F30" s="41"/>
      <c r="G30" s="32" t="s">
        <v>238</v>
      </c>
      <c r="H30" t="s">
        <v>214</v>
      </c>
      <c r="K30" t="s">
        <v>186</v>
      </c>
    </row>
    <row r="31" spans="1:12" x14ac:dyDescent="0.3">
      <c r="A31" s="18"/>
      <c r="B31" s="3" t="s">
        <v>123</v>
      </c>
      <c r="C31" s="12">
        <f>'Financial Statements'!B91+'Financial Statements'!B96+'Financial Statements'!B104+'Financial Statements'!B105</f>
        <v>107365</v>
      </c>
      <c r="D31" s="12">
        <f>'Financial Statements'!C91+'Financial Statements'!C96+'Financial Statements'!C104+'Financial Statements'!C105</f>
        <v>104596</v>
      </c>
      <c r="E31" s="31">
        <f>'Financial Statements'!D91+'Financial Statements'!D96+'Financial Statements'!D104+'Financial Statements'!D105</f>
        <v>76827</v>
      </c>
      <c r="F31" s="32"/>
      <c r="G31" s="32" t="s">
        <v>238</v>
      </c>
      <c r="H31" t="s">
        <v>215</v>
      </c>
      <c r="K31" t="s">
        <v>187</v>
      </c>
    </row>
    <row r="32" spans="1:12" x14ac:dyDescent="0.3">
      <c r="A32" s="18"/>
      <c r="C32" s="27"/>
      <c r="D32" s="27"/>
      <c r="E32" s="27"/>
      <c r="F32" s="41"/>
      <c r="G32" s="27"/>
      <c r="K32" t="s">
        <v>188</v>
      </c>
    </row>
    <row r="33" spans="1:13" x14ac:dyDescent="0.3">
      <c r="A33" s="18">
        <f>+A24+1</f>
        <v>4</v>
      </c>
      <c r="B33" s="17" t="s">
        <v>124</v>
      </c>
      <c r="C33" s="27"/>
      <c r="D33" s="27"/>
      <c r="E33" s="27"/>
      <c r="F33" s="41"/>
      <c r="G33" s="27"/>
      <c r="K33" t="s">
        <v>189</v>
      </c>
    </row>
    <row r="34" spans="1:13" x14ac:dyDescent="0.3">
      <c r="A34" s="18">
        <f>+A33+0.1</f>
        <v>4.0999999999999996</v>
      </c>
      <c r="B34" s="1" t="s">
        <v>125</v>
      </c>
      <c r="C34" s="27">
        <f>'Financial Statements'!B8/'Financial Statements'!B48</f>
        <v>1.1178523337727317</v>
      </c>
      <c r="D34" s="27">
        <f>'Financial Statements'!C8/'Financial Statements'!C48</f>
        <v>1.0422077367080529</v>
      </c>
      <c r="E34" s="27">
        <f>'Financial Statements'!D8/'Financial Statements'!D48</f>
        <v>0.84756150274168851</v>
      </c>
      <c r="F34" s="41"/>
      <c r="G34" s="27"/>
      <c r="H34" t="s">
        <v>216</v>
      </c>
      <c r="K34" t="s">
        <v>190</v>
      </c>
    </row>
    <row r="35" spans="1:13" x14ac:dyDescent="0.3">
      <c r="A35" s="18">
        <f t="shared" ref="A35:A37" si="2">+A34+0.1</f>
        <v>4.1999999999999993</v>
      </c>
      <c r="B35" s="1" t="s">
        <v>126</v>
      </c>
      <c r="C35" s="27">
        <f>'Financial Statements'!B8/'Financial Statements'!B45</f>
        <v>9.3626801529073767</v>
      </c>
      <c r="D35" s="27">
        <f>'Financial Statements'!C8/'Financial Statements'!C45</f>
        <v>9.2752789046653152</v>
      </c>
      <c r="E35" s="27">
        <f>'Financial Statements'!D8/'Financial Statements'!D38</f>
        <v>17.029466501240694</v>
      </c>
      <c r="F35" s="41"/>
      <c r="G35" s="27"/>
      <c r="H35" t="s">
        <v>217</v>
      </c>
      <c r="L35" t="s">
        <v>191</v>
      </c>
    </row>
    <row r="36" spans="1:13" x14ac:dyDescent="0.3">
      <c r="A36" s="18">
        <f t="shared" si="2"/>
        <v>4.2999999999999989</v>
      </c>
      <c r="B36" s="1" t="s">
        <v>127</v>
      </c>
      <c r="C36" s="27">
        <f>'Financial Statements'!B12/'Financial Statements'!B39</f>
        <v>45.197331176708452</v>
      </c>
      <c r="D36" s="27">
        <f>'Financial Statements'!C12/'Financial Statements'!C39</f>
        <v>32.367933130699086</v>
      </c>
      <c r="E36" s="27">
        <f>'Financial Statements'!D12/'Financial Statements'!D39</f>
        <v>41.753016498399411</v>
      </c>
      <c r="F36" s="41"/>
      <c r="G36" s="27"/>
      <c r="H36" t="s">
        <v>218</v>
      </c>
      <c r="K36" t="s">
        <v>192</v>
      </c>
      <c r="M36" t="s">
        <v>168</v>
      </c>
    </row>
    <row r="37" spans="1:13" x14ac:dyDescent="0.3">
      <c r="A37" s="18">
        <f t="shared" si="2"/>
        <v>4.3999999999999986</v>
      </c>
      <c r="B37" s="1" t="s">
        <v>128</v>
      </c>
      <c r="C37" s="27">
        <f>'Financial Statements'!B22/'Financial Statements'!B48</f>
        <v>0.28292440929256851</v>
      </c>
      <c r="D37" s="27">
        <f>'Financial Statements'!C22/'Financial Statements'!C48</f>
        <v>0.26974205275183616</v>
      </c>
      <c r="E37" s="27">
        <f>'Financial Statements'!D22/'Financial Statements'!D48</f>
        <v>0.1772557180259843</v>
      </c>
      <c r="F37" s="41"/>
      <c r="G37" s="27"/>
      <c r="H37" t="s">
        <v>233</v>
      </c>
      <c r="L37" t="s">
        <v>193</v>
      </c>
    </row>
    <row r="38" spans="1:13" x14ac:dyDescent="0.3">
      <c r="A38" s="18"/>
      <c r="L38" t="s">
        <v>194</v>
      </c>
    </row>
    <row r="39" spans="1:13" x14ac:dyDescent="0.3">
      <c r="A39" s="18">
        <f>+A33+1</f>
        <v>5</v>
      </c>
      <c r="B39" s="17" t="s">
        <v>129</v>
      </c>
      <c r="K39" t="s">
        <v>195</v>
      </c>
    </row>
    <row r="40" spans="1:13" x14ac:dyDescent="0.3">
      <c r="A40" s="18">
        <f>+A39+0.1</f>
        <v>5.0999999999999996</v>
      </c>
      <c r="B40" s="1" t="s">
        <v>130</v>
      </c>
      <c r="C40" s="27">
        <f>'Financial Statements'!G93/Ratios!C41</f>
        <v>25487.468897628329</v>
      </c>
      <c r="D40" s="27">
        <f>'Financial Statements'!G94/Ratios!D41</f>
        <v>27484.759206801864</v>
      </c>
      <c r="E40" s="27">
        <f>'Financial Statements'!G95/Ratios!E41</f>
        <v>34506.257446830743</v>
      </c>
      <c r="F40" s="41"/>
      <c r="G40" s="27"/>
      <c r="H40" t="s">
        <v>219</v>
      </c>
      <c r="L40" t="s">
        <v>196</v>
      </c>
    </row>
    <row r="41" spans="1:13" x14ac:dyDescent="0.3">
      <c r="A41" s="18">
        <f t="shared" ref="A41:A44" si="3">+A40+0.1</f>
        <v>5.1999999999999993</v>
      </c>
      <c r="B41" s="3" t="s">
        <v>131</v>
      </c>
      <c r="C41" s="27">
        <f>'Financial Statements'!B22/'Financial Statements'!B28</f>
        <v>6.1132002014722816E-3</v>
      </c>
      <c r="D41" s="27">
        <f>'Financial Statements'!C22/'Financial Statements'!C28</f>
        <v>5.614020440892719E-3</v>
      </c>
      <c r="E41" s="27">
        <f>'Financial Statements'!D22/'Financial Statements'!D28</f>
        <v>3.2753479618630853E-3</v>
      </c>
      <c r="F41" s="36" t="s">
        <v>241</v>
      </c>
      <c r="G41" s="27" t="s">
        <v>239</v>
      </c>
      <c r="H41" t="s">
        <v>220</v>
      </c>
      <c r="K41" t="s">
        <v>197</v>
      </c>
    </row>
    <row r="42" spans="1:13" x14ac:dyDescent="0.3">
      <c r="A42" s="18">
        <f t="shared" si="3"/>
        <v>5.2999999999999989</v>
      </c>
      <c r="B42" s="1" t="s">
        <v>132</v>
      </c>
      <c r="C42" s="27">
        <f>C41/C43</f>
        <v>1.9695887275023682</v>
      </c>
      <c r="D42" s="27">
        <f>D41/D43</f>
        <v>1.5007132667617689</v>
      </c>
      <c r="E42" s="27" cm="1">
        <f t="array" ref="E42">E41/_xlfn.ANCHORARRAY(E43)</f>
        <v>0.87866358530127486</v>
      </c>
      <c r="F42" s="41"/>
      <c r="G42" s="27"/>
      <c r="H42" t="s">
        <v>221</v>
      </c>
      <c r="K42" t="s">
        <v>198</v>
      </c>
    </row>
    <row r="43" spans="1:13" x14ac:dyDescent="0.3">
      <c r="A43" s="18">
        <f t="shared" si="3"/>
        <v>5.3999999999999986</v>
      </c>
      <c r="B43" s="3" t="s">
        <v>133</v>
      </c>
      <c r="C43" s="27">
        <f>'Financial Statements'!B68/'Financial Statements'!B28</f>
        <v>3.103795282797145E-3</v>
      </c>
      <c r="D43" s="27">
        <f>'Financial Statements'!C68/'Financial Statements'!C28</f>
        <v>3.7409014534845971E-3</v>
      </c>
      <c r="E43" s="27">
        <f>'Financial Statements'!D68/'Financial Statements'!D28</f>
        <v>3.7276473233382478E-3</v>
      </c>
      <c r="F43" s="36" t="s">
        <v>241</v>
      </c>
      <c r="G43" s="27" t="s">
        <v>239</v>
      </c>
      <c r="H43" t="s">
        <v>222</v>
      </c>
      <c r="K43" t="s">
        <v>199</v>
      </c>
    </row>
    <row r="44" spans="1:13" x14ac:dyDescent="0.3">
      <c r="A44" s="18">
        <f t="shared" si="3"/>
        <v>5.4999999999999982</v>
      </c>
      <c r="B44" s="1" t="s">
        <v>134</v>
      </c>
      <c r="C44" s="27">
        <f>C45/C41</f>
        <v>-0.14870294480125848</v>
      </c>
      <c r="D44" s="27">
        <f>D45/D41</f>
        <v>-0.15279890156316014</v>
      </c>
      <c r="E44" s="27">
        <f>E45/E41</f>
        <v>-0.24526658654264863</v>
      </c>
      <c r="F44" s="41"/>
      <c r="G44" s="27"/>
      <c r="H44" t="s">
        <v>223</v>
      </c>
      <c r="K44" t="s">
        <v>200</v>
      </c>
    </row>
    <row r="45" spans="1:13" x14ac:dyDescent="0.3">
      <c r="A45" s="18"/>
      <c r="B45" s="3" t="s">
        <v>135</v>
      </c>
      <c r="C45" s="27">
        <f>'Financial Statements'!B102/'Financial Statements'!B28</f>
        <v>-9.0905087211857485E-4</v>
      </c>
      <c r="D45" s="27">
        <f>'Financial Statements'!C102/'Financial Statements'!C28</f>
        <v>-8.5781615672153545E-4</v>
      </c>
      <c r="E45" s="27">
        <f>'Financial Statements'!D102/'Financial Statements'!D28</f>
        <v>-8.0333341434558024E-4</v>
      </c>
      <c r="F45" s="36" t="s">
        <v>241</v>
      </c>
      <c r="G45" s="27" t="s">
        <v>239</v>
      </c>
      <c r="H45" t="s">
        <v>224</v>
      </c>
      <c r="K45" t="s">
        <v>201</v>
      </c>
    </row>
    <row r="46" spans="1:13" x14ac:dyDescent="0.3">
      <c r="A46" s="18">
        <f>+A44+0.1</f>
        <v>5.5999999999999979</v>
      </c>
      <c r="B46" s="1" t="s">
        <v>136</v>
      </c>
      <c r="C46" s="27">
        <f>C45/'Financial Statements'!G93</f>
        <v>-5.8343551255925471E-6</v>
      </c>
      <c r="D46" s="27">
        <f>D45/'Financial Statements'!G94</f>
        <v>-5.5594047746048953E-6</v>
      </c>
      <c r="E46" s="27">
        <f>E45/'Financial Statements'!G95</f>
        <v>-7.1078872265579569E-6</v>
      </c>
      <c r="F46" s="41"/>
      <c r="G46" s="27"/>
      <c r="H46" t="s">
        <v>225</v>
      </c>
      <c r="L46" t="s">
        <v>202</v>
      </c>
    </row>
    <row r="47" spans="1:13" x14ac:dyDescent="0.3">
      <c r="A47" s="18">
        <f t="shared" ref="A47:A50" si="4">+A45+0.1</f>
        <v>0.1</v>
      </c>
      <c r="B47" s="1" t="s">
        <v>137</v>
      </c>
      <c r="C47" s="27">
        <f>'Financial Statements'!B22/'Financial Statements'!B68</f>
        <v>1.9695887275023682</v>
      </c>
      <c r="D47" s="27">
        <f>'Financial Statements'!C22/'Financial Statements'!C68</f>
        <v>1.5007132667617689</v>
      </c>
      <c r="E47" s="27">
        <f>'Financial Statements'!D22/'Financial Statements'!D68</f>
        <v>0.87866358530127486</v>
      </c>
      <c r="F47" s="41"/>
      <c r="G47" s="27"/>
      <c r="H47" t="s">
        <v>226</v>
      </c>
    </row>
    <row r="48" spans="1:13" x14ac:dyDescent="0.3">
      <c r="A48" s="18">
        <f t="shared" si="4"/>
        <v>5.6999999999999975</v>
      </c>
      <c r="B48" s="1" t="s">
        <v>138</v>
      </c>
      <c r="C48" s="24">
        <f>C21/('Financial Statements'!B59+'Financial Statements'!B68)</f>
        <v>0.79821026391589978</v>
      </c>
      <c r="D48" s="24">
        <f>D21/('Financial Statements'!C59+'Financial Statements'!C68)</f>
        <v>0.63270343097400639</v>
      </c>
      <c r="E48" s="24">
        <f>E21/('Financial Statements'!D59+'Financial Statements'!D68)</f>
        <v>0.40418033486579757</v>
      </c>
      <c r="F48" s="44"/>
      <c r="G48" s="24"/>
      <c r="H48" t="s">
        <v>227</v>
      </c>
    </row>
    <row r="49" spans="1:8" x14ac:dyDescent="0.3">
      <c r="A49" s="18">
        <f t="shared" si="4"/>
        <v>0.2</v>
      </c>
      <c r="B49" s="1" t="s">
        <v>128</v>
      </c>
      <c r="C49" s="27">
        <f>'Financial Statements'!B22/'Financial Statements'!B48</f>
        <v>0.28292440929256851</v>
      </c>
      <c r="D49" s="27">
        <f>'Financial Statements'!C22/'Financial Statements'!C48</f>
        <v>0.26974205275183616</v>
      </c>
      <c r="E49" s="27">
        <f>'Financial Statements'!D22/'Financial Statements'!D48</f>
        <v>0.1772557180259843</v>
      </c>
      <c r="F49" s="41"/>
      <c r="G49" s="27"/>
      <c r="H49" t="s">
        <v>233</v>
      </c>
    </row>
    <row r="50" spans="1:8" x14ac:dyDescent="0.3">
      <c r="A50" s="18">
        <f t="shared" si="4"/>
        <v>5.7999999999999972</v>
      </c>
      <c r="B50" s="1" t="s">
        <v>139</v>
      </c>
      <c r="C50" s="24">
        <f>C51/C19</f>
        <v>0.58422257451681847</v>
      </c>
      <c r="D50" s="24">
        <f>D51/D19</f>
        <v>0.62405182437433993</v>
      </c>
      <c r="E50" s="24">
        <f>E51/E19</f>
        <v>0.78896495655771615</v>
      </c>
      <c r="F50" s="44"/>
      <c r="G50" s="24"/>
      <c r="H50" t="s">
        <v>228</v>
      </c>
    </row>
    <row r="51" spans="1:8" x14ac:dyDescent="0.3">
      <c r="A51" s="18"/>
      <c r="B51" s="3" t="s">
        <v>140</v>
      </c>
      <c r="C51" s="27">
        <f>('Financial Statements'!G93*'Financial Statements'!B25)+'Financial Statements'!B59-'Financial Statements'!B36</f>
        <v>76264.999100000001</v>
      </c>
      <c r="D51" s="27">
        <f>('Financial Statements'!G94*'Financial Statements'!C25)+'Financial Statements'!C59-'Financial Statements'!C36</f>
        <v>75031.623000000007</v>
      </c>
      <c r="E51" s="27">
        <f>('Financial Statements'!G95*'Financial Statements'!D25)+'Financial Statements'!D59-'Financial Statements'!D36</f>
        <v>61021.705600000001</v>
      </c>
      <c r="F51" s="36" t="s">
        <v>242</v>
      </c>
      <c r="G51" s="27"/>
      <c r="H51" t="s">
        <v>234</v>
      </c>
    </row>
    <row r="53" spans="1:8" x14ac:dyDescent="0.3">
      <c r="B53" s="17" t="s">
        <v>149</v>
      </c>
      <c r="H53" t="s">
        <v>235</v>
      </c>
    </row>
    <row r="54" spans="1:8" x14ac:dyDescent="0.3">
      <c r="B54" s="1" t="s">
        <v>237</v>
      </c>
    </row>
    <row r="55" spans="1:8" x14ac:dyDescent="0.3">
      <c r="B55" s="1" t="s">
        <v>4</v>
      </c>
      <c r="C55" s="28">
        <f>('Financial Statements'!B6-'Financial Statements'!C6)/'Financial Statements'!B6</f>
        <v>5.9478366471747222E-2</v>
      </c>
      <c r="D55" s="28">
        <f>('Financial Statements'!C6-'Financial Statements'!D6)/'Financial Statements'!C6</f>
        <v>0.25772381234195946</v>
      </c>
      <c r="E55" s="28">
        <f>('Financial Statements'!C6-'Financial Statements'!D6)/'Financial Statements'!D6</f>
        <v>0.34720743656765435</v>
      </c>
      <c r="F55" s="42"/>
      <c r="G55" s="28"/>
    </row>
    <row r="56" spans="1:8" x14ac:dyDescent="0.3">
      <c r="B56" s="1" t="s">
        <v>5</v>
      </c>
      <c r="C56" s="28">
        <f>('Financial Statements'!B7-'Financial Statements'!C7)/'Financial Statements'!B7</f>
        <v>0.12420484071215554</v>
      </c>
      <c r="D56" s="28">
        <f>('Financial Statements'!C7-'Financial Statements'!D7)/'Financial Statements'!C7</f>
        <v>0.21420533430763611</v>
      </c>
      <c r="E56" s="28">
        <f>('Financial Statements'!C7-'Financial Statements'!D7)/'Financial Statements'!D7</f>
        <v>0.27259708376729652</v>
      </c>
      <c r="F56" s="42"/>
      <c r="G56" s="28"/>
    </row>
    <row r="57" spans="1:8" x14ac:dyDescent="0.3">
      <c r="B57" s="1" t="s">
        <v>236</v>
      </c>
      <c r="C57" s="28">
        <f>('Financial Statements'!B8-'Financial Statements'!C8)/'Financial Statements'!B8</f>
        <v>7.2302753038079967E-2</v>
      </c>
      <c r="D57" s="28">
        <f>('Financial Statements'!C8-'Financial Statements'!D8)/'Financial Statements'!C8</f>
        <v>0.24958380829759141</v>
      </c>
      <c r="E57" s="28">
        <f>('Financial Statements'!C8-'Financial Statements'!D8)/'Financial Statements'!D8</f>
        <v>0.33259384733074693</v>
      </c>
      <c r="F57" s="42"/>
      <c r="G57" s="28"/>
    </row>
    <row r="58" spans="1:8" x14ac:dyDescent="0.3">
      <c r="B58" s="1" t="s">
        <v>89</v>
      </c>
      <c r="C58" s="28">
        <f>('Financial Statements'!B13-'Financial Statements'!C13)/'Financial Statements'!B13</f>
        <v>0.10508133175627409</v>
      </c>
      <c r="D58" s="28">
        <f>('Financial Statements'!C13-'Financial Statements'!D13)/'Financial Statements'!C13</f>
        <v>0.31327697662854304</v>
      </c>
      <c r="E58" s="28">
        <f>('Financial Statements'!C13-'Financial Statements'!D13)/'Financial Statements'!D13</f>
        <v>0.45619116582186819</v>
      </c>
      <c r="F58" s="42"/>
      <c r="G58" s="28"/>
    </row>
    <row r="59" spans="1:8" x14ac:dyDescent="0.3">
      <c r="B59" s="1" t="s">
        <v>90</v>
      </c>
    </row>
    <row r="60" spans="1:8" x14ac:dyDescent="0.3">
      <c r="B60" s="1" t="s">
        <v>11</v>
      </c>
      <c r="C60" s="28">
        <f>('Financial Statements'!B15-'Financial Statements'!C15)/'Financial Statements'!B15</f>
        <v>0.16521275379985526</v>
      </c>
      <c r="D60" s="28">
        <f>('Financial Statements'!C15-'Financial Statements'!D15)/'Financial Statements'!C15</f>
        <v>0.14429132061695721</v>
      </c>
      <c r="E60" s="28">
        <f>('Financial Statements'!C15-'Financial Statements'!D15)/'Financial Statements'!D15</f>
        <v>0.16862201365187712</v>
      </c>
      <c r="F60" s="42"/>
      <c r="G60" s="28"/>
    </row>
    <row r="61" spans="1:8" x14ac:dyDescent="0.3">
      <c r="B61" s="1" t="s">
        <v>12</v>
      </c>
      <c r="C61" s="28">
        <f>('Financial Statements'!B16-'Financial Statements'!C16)/'Financial Statements'!B16</f>
        <v>0.1243723599266757</v>
      </c>
      <c r="D61" s="28">
        <f>('Financial Statements'!C16-'Financial Statements'!D16)/'Financial Statements'!C16</f>
        <v>9.3614891002594097E-2</v>
      </c>
      <c r="E61" s="28">
        <f>('Financial Statements'!C16-'Financial Statements'!D16)/'Financial Statements'!D16</f>
        <v>0.10328379192608958</v>
      </c>
      <c r="F61" s="42"/>
      <c r="G61" s="28"/>
    </row>
    <row r="62" spans="1:8" x14ac:dyDescent="0.3">
      <c r="B62" s="11" t="s">
        <v>91</v>
      </c>
      <c r="D62" s="28"/>
    </row>
    <row r="63" spans="1:8" x14ac:dyDescent="0.3">
      <c r="B63" t="s">
        <v>25</v>
      </c>
    </row>
    <row r="64" spans="1:8" x14ac:dyDescent="0.3">
      <c r="B64" s="1" t="s">
        <v>26</v>
      </c>
      <c r="C64" s="28">
        <f>('Financial Statements'!B36-'Financial Statements'!C36)/'Financial Statements'!B36</f>
        <v>-0.47762835151822719</v>
      </c>
      <c r="D64" s="28">
        <f>('Financial Statements'!C36-'Financial Statements'!D36)/'Financial Statements'!C36</f>
        <v>-8.8036634230108754E-2</v>
      </c>
      <c r="E64" s="28">
        <f>('Financial Statements'!C36-'Financial Statements'!D36)/'Financial Statements'!D36</f>
        <v>-8.0913299663299659E-2</v>
      </c>
      <c r="F64" s="42"/>
      <c r="G64" s="28"/>
    </row>
    <row r="65" spans="2:7" x14ac:dyDescent="0.3">
      <c r="B65" s="1" t="s">
        <v>27</v>
      </c>
      <c r="C65" s="28">
        <f>('Financial Statements'!B37-'Financial Statements'!C37)/'Financial Statements'!B37</f>
        <v>-0.1233271149322735</v>
      </c>
      <c r="D65" s="28">
        <f>('Financial Statements'!C37-'Financial Statements'!D37)/'Financial Statements'!C37</f>
        <v>-0.91079100328531715</v>
      </c>
      <c r="E65" s="28">
        <f>('Financial Statements'!C37-'Financial Statements'!D37)/'Financial Statements'!D37</f>
        <v>-0.47665652691442933</v>
      </c>
      <c r="F65" s="42"/>
      <c r="G65" s="28"/>
    </row>
    <row r="66" spans="2:7" x14ac:dyDescent="0.3">
      <c r="B66" s="1" t="s">
        <v>28</v>
      </c>
      <c r="C66" s="28">
        <f>('Financial Statements'!B38-'Financial Statements'!C38)/'Financial Statements'!B38</f>
        <v>6.7627022424070399E-2</v>
      </c>
      <c r="D66" s="28">
        <f>('Financial Statements'!C38-'Financial Statements'!D38)/'Financial Statements'!C38</f>
        <v>0.38655909886597156</v>
      </c>
      <c r="E66" s="28">
        <f>('Financial Statements'!C38-'Financial Statements'!D38)/'Financial Statements'!D38</f>
        <v>0.63014888337468977</v>
      </c>
      <c r="F66" s="42"/>
      <c r="G66" s="28"/>
    </row>
    <row r="67" spans="2:7" x14ac:dyDescent="0.3">
      <c r="B67" s="1" t="s">
        <v>29</v>
      </c>
      <c r="C67" s="28">
        <f>('Financial Statements'!B39-'Financial Statements'!C39)/'Financial Statements'!B39</f>
        <v>-0.3303679741205014</v>
      </c>
      <c r="D67" s="28">
        <f>('Financial Statements'!C39-'Financial Statements'!D39)/'Financial Statements'!C39</f>
        <v>0.38282674772036474</v>
      </c>
      <c r="E67" s="28">
        <f>('Financial Statements'!C39-'Financial Statements'!D39)/'Financial Statements'!D39</f>
        <v>0.62029056882541245</v>
      </c>
      <c r="F67" s="42"/>
      <c r="G67" s="28"/>
    </row>
    <row r="68" spans="2:7" x14ac:dyDescent="0.3">
      <c r="B68" s="1" t="s">
        <v>47</v>
      </c>
      <c r="C68" s="28">
        <f>('Financial Statements'!B40-'Financial Statements'!C40)/'Financial Statements'!B40</f>
        <v>0.22963234395993648</v>
      </c>
      <c r="D68" s="28">
        <f>('Financial Statements'!C40-'Financial Statements'!D40)/'Financial Statements'!C40</f>
        <v>0.15470905343269384</v>
      </c>
      <c r="E68" s="28">
        <f>('Financial Statements'!C40-'Financial Statements'!D40)/'Financial Statements'!D40</f>
        <v>0.18302461899179367</v>
      </c>
      <c r="F68" s="42"/>
      <c r="G68" s="28"/>
    </row>
    <row r="69" spans="2:7" x14ac:dyDescent="0.3">
      <c r="B69" s="1" t="s">
        <v>30</v>
      </c>
      <c r="C69" s="28">
        <f>('Financial Statements'!B41-'Financial Statements'!C41)/'Financial Statements'!B41</f>
        <v>0.33510813739810585</v>
      </c>
      <c r="D69" s="28">
        <f>('Financial Statements'!C41-'Financial Statements'!D41)/'Financial Statements'!C41</f>
        <v>0.20175749415349728</v>
      </c>
      <c r="E69" s="28">
        <f>('Financial Statements'!C41-'Financial Statements'!D41)/'Financial Statements'!D41</f>
        <v>0.25275213068181818</v>
      </c>
      <c r="F69" s="42"/>
      <c r="G69" s="28"/>
    </row>
    <row r="70" spans="2:7" x14ac:dyDescent="0.3">
      <c r="B70" t="s">
        <v>48</v>
      </c>
    </row>
    <row r="71" spans="2:7" x14ac:dyDescent="0.3">
      <c r="B71" s="1" t="s">
        <v>27</v>
      </c>
      <c r="C71" s="28">
        <f>('Financial Statements'!B44-'Financial Statements'!C44)/'Financial Statements'!B44</f>
        <v>-5.8540623318571253E-2</v>
      </c>
      <c r="D71" s="28">
        <f>('Financial Statements'!C44-'Financial Statements'!D44)/'Financial Statements'!C44</f>
        <v>0.21106219257567818</v>
      </c>
      <c r="E71" s="28">
        <f>('Financial Statements'!C44-'Financial Statements'!D44)/'Financial Statements'!D44</f>
        <v>0.26752703519779553</v>
      </c>
      <c r="F71" s="42"/>
      <c r="G71" s="28"/>
    </row>
    <row r="72" spans="2:7" x14ac:dyDescent="0.3">
      <c r="B72" s="1" t="s">
        <v>32</v>
      </c>
      <c r="C72" s="28">
        <f>('Financial Statements'!B45-'Financial Statements'!C45)/'Financial Statements'!B45</f>
        <v>6.3561032362229028E-2</v>
      </c>
      <c r="D72" s="28">
        <f>('Financial Statements'!C45-'Financial Statements'!D45)/'Financial Statements'!C45</f>
        <v>6.7799188640973632E-2</v>
      </c>
      <c r="E72" s="28">
        <f>('Financial Statements'!C45-'Financial Statements'!D45)/'Financial Statements'!D45</f>
        <v>7.2730239895555673E-2</v>
      </c>
      <c r="F72" s="42"/>
      <c r="G72" s="28"/>
    </row>
    <row r="73" spans="2:7" x14ac:dyDescent="0.3">
      <c r="B73" s="1" t="s">
        <v>49</v>
      </c>
      <c r="C73" s="28">
        <f>('Financial Statements'!B46-'Financial Statements'!C46)/'Financial Statements'!B46</f>
        <v>0.10250238847651943</v>
      </c>
      <c r="D73" s="28">
        <f>('Financial Statements'!C46-'Financial Statements'!D46)/'Financial Statements'!C46</f>
        <v>0.1295215869311552</v>
      </c>
      <c r="E73" s="28">
        <f>('Financial Statements'!C46-'Financial Statements'!D46)/'Financial Statements'!D46</f>
        <v>0.1487935656836461</v>
      </c>
      <c r="F73" s="42"/>
      <c r="G73" s="28"/>
    </row>
    <row r="74" spans="2:7" x14ac:dyDescent="0.3">
      <c r="B74" t="s">
        <v>34</v>
      </c>
    </row>
    <row r="75" spans="2:7" x14ac:dyDescent="0.3">
      <c r="B75" s="1" t="s">
        <v>35</v>
      </c>
      <c r="C75" s="28">
        <f>('Financial Statements'!B51-'Financial Statements'!C51)/'Financial Statements'!B51</f>
        <v>0.14586290259689622</v>
      </c>
      <c r="D75" s="28">
        <f>('Financial Statements'!C51-'Financial Statements'!D51)/'Financial Statements'!C51</f>
        <v>0.2276537077954093</v>
      </c>
      <c r="E75" s="28">
        <f>('Financial Statements'!C51-'Financial Statements'!D51)/'Financial Statements'!D51</f>
        <v>0.29475600529600909</v>
      </c>
      <c r="F75" s="42"/>
      <c r="G75" s="28"/>
    </row>
    <row r="76" spans="2:7" x14ac:dyDescent="0.3">
      <c r="B76" s="1" t="s">
        <v>36</v>
      </c>
      <c r="C76" s="28">
        <f>('Financial Statements'!B52-'Financial Statements'!C52)/'Financial Statements'!B52</f>
        <v>0.21944284657736873</v>
      </c>
      <c r="D76" s="28">
        <f>('Financial Statements'!C52-'Financial Statements'!D52)/'Financial Statements'!C52</f>
        <v>0.10125702735139916</v>
      </c>
      <c r="E76" s="28">
        <f>('Financial Statements'!C52-'Financial Statements'!D52)/'Financial Statements'!D52</f>
        <v>0.1126651672757942</v>
      </c>
      <c r="F76" s="42"/>
      <c r="G76" s="28"/>
    </row>
    <row r="77" spans="2:7" x14ac:dyDescent="0.3">
      <c r="B77" s="1" t="s">
        <v>37</v>
      </c>
      <c r="C77" s="28">
        <f>('Financial Statements'!B53-'Financial Statements'!C53)/'Financial Statements'!B53</f>
        <v>3.7917087967644085E-2</v>
      </c>
      <c r="D77" s="28">
        <f>('Financial Statements'!C53-'Financial Statements'!D53)/'Financial Statements'!C53</f>
        <v>0.12729900157645824</v>
      </c>
      <c r="E77" s="28">
        <f>('Financial Statements'!C53-'Financial Statements'!D53)/'Financial Statements'!C53</f>
        <v>0.12729900157645824</v>
      </c>
      <c r="F77" s="42"/>
      <c r="G77" s="28"/>
    </row>
    <row r="78" spans="2:7" x14ac:dyDescent="0.3">
      <c r="B78" s="1" t="s">
        <v>38</v>
      </c>
      <c r="C78" s="28">
        <f>('Financial Statements'!B54-'Financial Statements'!C54)/'Financial Statements'!B54</f>
        <v>0.39891805249449008</v>
      </c>
      <c r="D78" s="28">
        <f>('Financial Statements'!C54-'Financial Statements'!D54)/'Financial Statements'!C54</f>
        <v>0.16733333333333333</v>
      </c>
      <c r="E78" s="28">
        <f>('Financial Statements'!C54-'Financial Statements'!D54)/'Financial Statements'!D54</f>
        <v>0.20096076861489193</v>
      </c>
      <c r="F78" s="42"/>
      <c r="G78" s="28"/>
    </row>
    <row r="79" spans="2:7" x14ac:dyDescent="0.3">
      <c r="B79" s="1" t="s">
        <v>39</v>
      </c>
      <c r="C79" s="28">
        <f>('Financial Statements'!B55-'Financial Statements'!C55)/'Financial Statements'!B55</f>
        <v>0.13614306254493169</v>
      </c>
      <c r="D79" s="28">
        <f>('Financial Statements'!C55-'Financial Statements'!D55)/'Financial Statements'!C55</f>
        <v>8.7381670654322272E-2</v>
      </c>
      <c r="E79" s="28">
        <f>('Financial Statements'!C55-'Financial Statements'!D55)/'Financial Statements'!D55</f>
        <v>9.5748318705117977E-2</v>
      </c>
      <c r="F79" s="42"/>
      <c r="G79" s="28"/>
    </row>
    <row r="80" spans="2:7" x14ac:dyDescent="0.3">
      <c r="B80" t="s">
        <v>51</v>
      </c>
    </row>
    <row r="81" spans="2:7" x14ac:dyDescent="0.3">
      <c r="B81" s="1" t="s">
        <v>37</v>
      </c>
    </row>
    <row r="82" spans="2:7" x14ac:dyDescent="0.3">
      <c r="B82" s="1" t="s">
        <v>39</v>
      </c>
      <c r="C82" s="28">
        <f>('Financial Statements'!B59-'Financial Statements'!C59)/'Financial Statements'!B59</f>
        <v>-0.10253741448478663</v>
      </c>
      <c r="D82" s="28">
        <f>('Financial Statements'!C59-'Financial Statements'!D59)/'Financial Statements'!C59</f>
        <v>9.5677597932286029E-2</v>
      </c>
      <c r="E82" s="28">
        <f>('Financial Statements'!C59-'Financial Statements'!D59)/'Financial Statements'!D59</f>
        <v>0.1058003182421681</v>
      </c>
      <c r="F82" s="42"/>
      <c r="G82" s="28"/>
    </row>
    <row r="83" spans="2:7" x14ac:dyDescent="0.3">
      <c r="B83" s="1" t="s">
        <v>52</v>
      </c>
      <c r="C83" s="28">
        <f>('Financial Statements'!B60-'Financial Statements'!C60)/'Financial Statements'!B60</f>
        <v>-8.5120670709372834E-2</v>
      </c>
      <c r="D83" s="28">
        <f>('Financial Statements'!C60-'Financial Statements'!D60)/'Financial Statements'!C60</f>
        <v>-2.1847163619315518E-2</v>
      </c>
      <c r="E83" s="28">
        <f>('Financial Statements'!C60-'Financial Statements'!D60)/'Financial Statements'!D60</f>
        <v>-2.1380069737566527E-2</v>
      </c>
      <c r="F83" s="42"/>
      <c r="G83" s="28"/>
    </row>
    <row r="85" spans="2:7" x14ac:dyDescent="0.3">
      <c r="B85" s="17" t="s">
        <v>92</v>
      </c>
    </row>
    <row r="86" spans="2:7" x14ac:dyDescent="0.3">
      <c r="B86" s="1" t="s">
        <v>146</v>
      </c>
      <c r="C86" s="28">
        <f>'Financial Statements'!B12/'Financial Statements'!B8</f>
        <v>0.56690369438639909</v>
      </c>
      <c r="D86" s="28">
        <f>'Financial Statements'!C12/'Financial Statements'!C8</f>
        <v>0.58220640374832222</v>
      </c>
      <c r="E86" s="28">
        <f>'Financial Statements'!D12/'Financial Statements'!D8</f>
        <v>0.61766752272189129</v>
      </c>
      <c r="F86" s="42"/>
      <c r="G86" s="28"/>
    </row>
    <row r="87" spans="2:7" x14ac:dyDescent="0.3">
      <c r="B87" s="1" t="s">
        <v>89</v>
      </c>
      <c r="C87" s="28">
        <f>'Financial Statements'!B13/'Financial Statements'!B8</f>
        <v>0.43309630561360085</v>
      </c>
      <c r="D87" s="28">
        <f>'Financial Statements'!C13/'Financial Statements'!C8</f>
        <v>0.41779359625167778</v>
      </c>
      <c r="E87" s="28">
        <f>'Financial Statements'!D13/'Financial Statements'!D8</f>
        <v>0.38233247727810865</v>
      </c>
      <c r="F87" s="42"/>
      <c r="G87" s="28"/>
    </row>
    <row r="88" spans="2:7" x14ac:dyDescent="0.3">
      <c r="B88" s="1" t="s">
        <v>90</v>
      </c>
    </row>
    <row r="89" spans="2:7" x14ac:dyDescent="0.3">
      <c r="B89" s="1" t="s">
        <v>11</v>
      </c>
      <c r="C89" s="28">
        <f>'Financial Statements'!B15/'Financial Statements'!B8</f>
        <v>6.657148363798665E-2</v>
      </c>
      <c r="D89" s="28">
        <f>'Financial Statements'!C15/'Financial Statements'!C8</f>
        <v>5.9904269074427925E-2</v>
      </c>
      <c r="E89" s="28">
        <f>'Financial Statements'!D15/'Financial Statements'!D8</f>
        <v>6.8309564140393061E-2</v>
      </c>
      <c r="F89" s="42"/>
      <c r="G89" s="28"/>
    </row>
    <row r="90" spans="2:7" x14ac:dyDescent="0.3">
      <c r="B90" s="1" t="s">
        <v>12</v>
      </c>
      <c r="C90" s="28">
        <f>'Financial Statements'!B16/'Financial Statements'!B8</f>
        <v>6.3637378020328261E-2</v>
      </c>
      <c r="D90" s="28">
        <f>'Financial Statements'!C16/'Financial Statements'!C8</f>
        <v>6.006555190163388E-2</v>
      </c>
      <c r="E90" s="28">
        <f>'Financial Statements'!D16/'Financial Statements'!D8</f>
        <v>7.2549769593646979E-2</v>
      </c>
      <c r="F90" s="42"/>
      <c r="G90" s="28"/>
    </row>
    <row r="91" spans="2:7" x14ac:dyDescent="0.3">
      <c r="B91" s="1" t="s">
        <v>14</v>
      </c>
      <c r="C91" s="28">
        <f>'Financial Statements'!B18/'Financial Statements'!B8</f>
        <v>0.30288744395528594</v>
      </c>
      <c r="D91" s="28">
        <f>'Financial Statements'!C18/'Financial Statements'!C8</f>
        <v>0.29782377527561593</v>
      </c>
      <c r="E91" s="28">
        <f>'Financial Statements'!D18/'Financial Statements'!D8</f>
        <v>0.24147314354406862</v>
      </c>
      <c r="F91" s="42"/>
      <c r="G91" s="28"/>
    </row>
    <row r="92" spans="2:7" x14ac:dyDescent="0.3">
      <c r="B92" s="1" t="s">
        <v>93</v>
      </c>
      <c r="C92" s="28">
        <f>'Financial Statements'!B22/'Financial Statements'!B8</f>
        <v>0.25309640705199732</v>
      </c>
      <c r="D92" s="28">
        <f>'Financial Statements'!C22/'Financial Statements'!C8</f>
        <v>0.25881793355694238</v>
      </c>
      <c r="E92" s="28">
        <f>'Financial Statements'!D22/'Financial Statements'!D8</f>
        <v>0.20913611278072236</v>
      </c>
      <c r="F92" s="42"/>
      <c r="G92" s="28"/>
    </row>
    <row r="93" spans="2:7" x14ac:dyDescent="0.3">
      <c r="B93" s="1"/>
    </row>
    <row r="94" spans="2:7" x14ac:dyDescent="0.3">
      <c r="B94" s="17" t="s">
        <v>98</v>
      </c>
    </row>
    <row r="95" spans="2:7" x14ac:dyDescent="0.3">
      <c r="B95" s="1" t="s">
        <v>94</v>
      </c>
      <c r="C95" s="27">
        <f>'Financial Statements'!B21/'Financial Statements'!B20</f>
        <v>0.16204461684424407</v>
      </c>
      <c r="D95" s="27">
        <f>'Financial Statements'!C21/'Financial Statements'!C20</f>
        <v>0.13302260844085087</v>
      </c>
      <c r="E95" s="27">
        <f>'Financial Statements'!D21/'Financial Statements'!D20</f>
        <v>0.14428164731484103</v>
      </c>
      <c r="F95" s="41"/>
      <c r="G95" s="27"/>
    </row>
    <row r="96" spans="2:7" x14ac:dyDescent="0.3">
      <c r="B96" s="1" t="s">
        <v>95</v>
      </c>
      <c r="C96" s="28">
        <f>-'Financial Statements'!B96/'Financial Statements'!B8</f>
        <v>2.7155058732831552E-2</v>
      </c>
      <c r="D96" s="28">
        <f>-'Financial Statements'!C96/'Financial Statements'!C8</f>
        <v>3.0302036264033657E-2</v>
      </c>
      <c r="E96" s="28">
        <f>-'Financial Statements'!D96/'Financial Statements'!D8</f>
        <v>2.6625138881299748E-2</v>
      </c>
      <c r="F96" s="42"/>
      <c r="G96" t="s">
        <v>240</v>
      </c>
    </row>
    <row r="97" spans="2:7" x14ac:dyDescent="0.3">
      <c r="B97" s="1" t="s">
        <v>96</v>
      </c>
      <c r="C97" s="28">
        <f>-'Financial Statements'!B96/'Financial Statements'!B45</f>
        <v>0.25424412944891611</v>
      </c>
      <c r="D97" s="28">
        <f>-'Financial Statements'!C96/'Financial Statements'!C45</f>
        <v>0.28105983772819471</v>
      </c>
      <c r="E97" s="28">
        <f>-'Financial Statements'!D96/'Financial Statements'!D45</f>
        <v>0.19879780231735844</v>
      </c>
      <c r="F97" s="42"/>
      <c r="G97" t="s">
        <v>240</v>
      </c>
    </row>
  </sheetData>
  <mergeCells count="1">
    <mergeCell ref="C2:E2"/>
  </mergeCells>
  <pageMargins left="0.7" right="0.7" top="0.75" bottom="0.75" header="0.3" footer="0.3"/>
  <pageSetup paperSize="9" orientation="portrait" horizontalDpi="300" verticalDpi="300" r:id="rId1"/>
  <ignoredErrors>
    <ignoredError sqref="C19:E1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14"/>
  <sheetViews>
    <sheetView workbookViewId="0">
      <pane xSplit="1" ySplit="4" topLeftCell="B11" activePane="bottomRight" state="frozen"/>
      <selection pane="topRight" activeCell="B1" sqref="B1"/>
      <selection pane="bottomLeft" activeCell="A5" sqref="A5"/>
      <selection pane="bottomRight" activeCell="E31" sqref="E31"/>
    </sheetView>
  </sheetViews>
  <sheetFormatPr defaultRowHeight="14.4" x14ac:dyDescent="0.3"/>
  <cols>
    <col min="1" max="1" width="138.44140625" bestFit="1" customWidth="1"/>
    <col min="2" max="3" width="11.5546875" bestFit="1" customWidth="1"/>
    <col min="4" max="4" width="11.6640625" bestFit="1" customWidth="1"/>
    <col min="5" max="5" width="9.109375" bestFit="1" customWidth="1"/>
    <col min="6" max="6" width="38.5546875" bestFit="1" customWidth="1"/>
    <col min="7" max="7" width="17.5546875" bestFit="1" customWidth="1"/>
  </cols>
  <sheetData>
    <row r="1" spans="1:10" ht="60" customHeight="1" x14ac:dyDescent="0.3">
      <c r="A1" s="6" t="s">
        <v>0</v>
      </c>
      <c r="B1" s="4" t="s">
        <v>2</v>
      </c>
      <c r="C1" s="4"/>
      <c r="D1" s="4"/>
      <c r="E1" s="4"/>
      <c r="F1" s="4"/>
      <c r="G1" s="4"/>
      <c r="H1" s="4"/>
      <c r="I1" s="4"/>
      <c r="J1" s="4"/>
    </row>
    <row r="2" spans="1:10" x14ac:dyDescent="0.3">
      <c r="A2" s="35" t="s">
        <v>1</v>
      </c>
      <c r="B2" s="35"/>
      <c r="C2" s="35"/>
      <c r="D2" s="35"/>
    </row>
    <row r="3" spans="1:10" x14ac:dyDescent="0.3">
      <c r="B3" s="34" t="s">
        <v>23</v>
      </c>
      <c r="C3" s="34"/>
      <c r="D3" s="34"/>
    </row>
    <row r="4" spans="1:10" x14ac:dyDescent="0.3">
      <c r="B4" s="7">
        <v>2022</v>
      </c>
      <c r="C4" s="7">
        <v>2021</v>
      </c>
      <c r="D4" s="7">
        <v>2020</v>
      </c>
    </row>
    <row r="5" spans="1:10" x14ac:dyDescent="0.3">
      <c r="A5" t="s">
        <v>3</v>
      </c>
    </row>
    <row r="6" spans="1:10" x14ac:dyDescent="0.3">
      <c r="A6" s="1" t="s">
        <v>4</v>
      </c>
      <c r="B6" s="12">
        <v>316199</v>
      </c>
      <c r="C6" s="12">
        <v>297392</v>
      </c>
      <c r="D6" s="12">
        <v>220747</v>
      </c>
      <c r="F6" s="23"/>
    </row>
    <row r="7" spans="1:10" x14ac:dyDescent="0.3">
      <c r="A7" s="1" t="s">
        <v>5</v>
      </c>
      <c r="B7" s="12">
        <v>78129</v>
      </c>
      <c r="C7" s="12">
        <v>68425</v>
      </c>
      <c r="D7" s="12">
        <v>53768</v>
      </c>
    </row>
    <row r="8" spans="1:10" x14ac:dyDescent="0.3">
      <c r="A8" s="8" t="s">
        <v>6</v>
      </c>
      <c r="B8" s="13">
        <f>+B6+B7</f>
        <v>394328</v>
      </c>
      <c r="C8" s="13">
        <f t="shared" ref="C8:D8" si="0">+C6+C7</f>
        <v>365817</v>
      </c>
      <c r="D8" s="13">
        <f t="shared" si="0"/>
        <v>274515</v>
      </c>
    </row>
    <row r="9" spans="1:10" x14ac:dyDescent="0.3">
      <c r="A9" t="s">
        <v>7</v>
      </c>
      <c r="B9" s="12"/>
      <c r="C9" s="12"/>
      <c r="D9" s="12"/>
      <c r="G9" t="s">
        <v>204</v>
      </c>
    </row>
    <row r="10" spans="1:10" x14ac:dyDescent="0.3">
      <c r="A10" s="1" t="s">
        <v>4</v>
      </c>
      <c r="B10" s="12">
        <v>201471</v>
      </c>
      <c r="C10" s="12">
        <v>192266</v>
      </c>
      <c r="D10" s="12">
        <v>151286</v>
      </c>
      <c r="F10" s="12">
        <v>2022</v>
      </c>
      <c r="G10" s="23">
        <f>B56-B42</f>
        <v>18577</v>
      </c>
    </row>
    <row r="11" spans="1:10" x14ac:dyDescent="0.3">
      <c r="A11" s="1" t="s">
        <v>5</v>
      </c>
      <c r="B11" s="12">
        <v>22075</v>
      </c>
      <c r="C11" s="12">
        <v>20715</v>
      </c>
      <c r="D11" s="12">
        <v>18273</v>
      </c>
      <c r="F11" s="12">
        <v>2021</v>
      </c>
      <c r="G11" s="23">
        <f>C56-C42</f>
        <v>-9355</v>
      </c>
    </row>
    <row r="12" spans="1:10" x14ac:dyDescent="0.3">
      <c r="A12" s="8" t="s">
        <v>8</v>
      </c>
      <c r="B12" s="13">
        <f>+B10+B11</f>
        <v>223546</v>
      </c>
      <c r="C12" s="13">
        <f t="shared" ref="C12:D12" si="1">+C10+C11</f>
        <v>212981</v>
      </c>
      <c r="D12" s="13">
        <f t="shared" si="1"/>
        <v>169559</v>
      </c>
      <c r="F12" s="23">
        <v>2020</v>
      </c>
      <c r="G12" s="23">
        <f>D56-D42</f>
        <v>-38321</v>
      </c>
    </row>
    <row r="13" spans="1:10" x14ac:dyDescent="0.3">
      <c r="A13" s="8" t="s">
        <v>9</v>
      </c>
      <c r="B13" s="13">
        <f>+B8-B12</f>
        <v>170782</v>
      </c>
      <c r="C13" s="13">
        <f t="shared" ref="C13:D13" si="2">+C8-C12</f>
        <v>152836</v>
      </c>
      <c r="D13" s="13">
        <f t="shared" si="2"/>
        <v>104956</v>
      </c>
      <c r="F13" s="23"/>
    </row>
    <row r="14" spans="1:10" x14ac:dyDescent="0.3">
      <c r="A14" t="s">
        <v>10</v>
      </c>
      <c r="B14" s="12"/>
      <c r="C14" s="12"/>
      <c r="D14" s="12"/>
    </row>
    <row r="15" spans="1:10" x14ac:dyDescent="0.3">
      <c r="A15" s="1" t="s">
        <v>11</v>
      </c>
      <c r="B15" s="12">
        <v>26251</v>
      </c>
      <c r="C15" s="12">
        <v>21914</v>
      </c>
      <c r="D15" s="12">
        <v>18752</v>
      </c>
      <c r="F15" s="23"/>
    </row>
    <row r="16" spans="1:10" x14ac:dyDescent="0.3">
      <c r="A16" s="1" t="s">
        <v>12</v>
      </c>
      <c r="B16" s="12">
        <v>25094</v>
      </c>
      <c r="C16" s="12">
        <v>21973</v>
      </c>
      <c r="D16" s="12">
        <v>19916</v>
      </c>
    </row>
    <row r="17" spans="1:7" x14ac:dyDescent="0.3">
      <c r="A17" s="8" t="s">
        <v>13</v>
      </c>
      <c r="B17" s="13">
        <f>+B15+B16</f>
        <v>51345</v>
      </c>
      <c r="C17" s="13">
        <f t="shared" ref="C17" si="3">+C15+C16</f>
        <v>43887</v>
      </c>
      <c r="D17" s="13">
        <f t="shared" ref="D17" si="4">+D15+D16</f>
        <v>38668</v>
      </c>
      <c r="F17" s="24"/>
    </row>
    <row r="18" spans="1:7" s="7" customFormat="1" x14ac:dyDescent="0.3">
      <c r="A18" s="8" t="s">
        <v>14</v>
      </c>
      <c r="B18" s="13">
        <f>+B13-B17</f>
        <v>119437</v>
      </c>
      <c r="C18" s="13">
        <f t="shared" ref="C18:D18" si="5">+C13-C17</f>
        <v>108949</v>
      </c>
      <c r="D18" s="13">
        <f t="shared" si="5"/>
        <v>66288</v>
      </c>
    </row>
    <row r="19" spans="1:7" x14ac:dyDescent="0.3">
      <c r="A19" t="s">
        <v>15</v>
      </c>
      <c r="B19" s="12">
        <v>-334</v>
      </c>
      <c r="C19" s="12">
        <v>258</v>
      </c>
      <c r="D19" s="12">
        <v>803</v>
      </c>
    </row>
    <row r="20" spans="1:7" x14ac:dyDescent="0.3">
      <c r="A20" s="8" t="s">
        <v>16</v>
      </c>
      <c r="B20" s="13">
        <f>+B18+B19</f>
        <v>119103</v>
      </c>
      <c r="C20" s="13">
        <f t="shared" ref="C20:D20" si="6">+C18+C19</f>
        <v>109207</v>
      </c>
      <c r="D20" s="13">
        <f t="shared" si="6"/>
        <v>67091</v>
      </c>
      <c r="G20" t="s">
        <v>156</v>
      </c>
    </row>
    <row r="21" spans="1:7" x14ac:dyDescent="0.3">
      <c r="A21" t="s">
        <v>17</v>
      </c>
      <c r="B21" s="12">
        <v>19300</v>
      </c>
      <c r="C21" s="12">
        <v>14527</v>
      </c>
      <c r="D21" s="12">
        <v>9680</v>
      </c>
      <c r="F21" s="12">
        <v>2022</v>
      </c>
      <c r="G21">
        <f>G31/B65</f>
        <v>-0.4959983962744221</v>
      </c>
    </row>
    <row r="22" spans="1:7" ht="15" thickBot="1" x14ac:dyDescent="0.35">
      <c r="A22" s="9" t="s">
        <v>18</v>
      </c>
      <c r="B22" s="14">
        <f>+B20-B21</f>
        <v>99803</v>
      </c>
      <c r="C22" s="14">
        <f t="shared" ref="C22:D22" si="7">+C20-C21</f>
        <v>94680</v>
      </c>
      <c r="D22" s="14">
        <f t="shared" si="7"/>
        <v>57411</v>
      </c>
      <c r="F22">
        <v>2021</v>
      </c>
      <c r="G22">
        <f>G32/C65</f>
        <v>-0.93954501873964957</v>
      </c>
    </row>
    <row r="23" spans="1:7" ht="15" thickTop="1" x14ac:dyDescent="0.3">
      <c r="A23" t="s">
        <v>19</v>
      </c>
      <c r="F23">
        <v>2020</v>
      </c>
      <c r="G23">
        <f>G33/D65</f>
        <v>-5.5618464325803973</v>
      </c>
    </row>
    <row r="24" spans="1:7" x14ac:dyDescent="0.3">
      <c r="A24" s="1" t="s">
        <v>20</v>
      </c>
      <c r="B24" s="10">
        <v>6.15</v>
      </c>
      <c r="C24" s="10">
        <v>5.67</v>
      </c>
      <c r="D24" s="10">
        <v>3.31</v>
      </c>
    </row>
    <row r="25" spans="1:7" x14ac:dyDescent="0.3">
      <c r="A25" s="1" t="s">
        <v>21</v>
      </c>
      <c r="B25" s="10">
        <v>6.11</v>
      </c>
      <c r="C25" s="10">
        <v>5.61</v>
      </c>
      <c r="D25" s="10">
        <v>3.28</v>
      </c>
    </row>
    <row r="26" spans="1:7" x14ac:dyDescent="0.3">
      <c r="A26" t="s">
        <v>22</v>
      </c>
    </row>
    <row r="27" spans="1:7" x14ac:dyDescent="0.3">
      <c r="A27" s="1" t="s">
        <v>20</v>
      </c>
      <c r="B27" s="2">
        <v>16215963</v>
      </c>
      <c r="C27" s="2">
        <v>16701272</v>
      </c>
      <c r="D27" s="2">
        <v>17352119</v>
      </c>
    </row>
    <row r="28" spans="1:7" x14ac:dyDescent="0.3">
      <c r="A28" s="1" t="s">
        <v>21</v>
      </c>
      <c r="B28" s="2">
        <v>16325819</v>
      </c>
      <c r="C28" s="2">
        <v>16864919</v>
      </c>
      <c r="D28" s="2">
        <v>17528214</v>
      </c>
    </row>
    <row r="30" spans="1:7" x14ac:dyDescent="0.3">
      <c r="G30" t="s">
        <v>123</v>
      </c>
    </row>
    <row r="31" spans="1:7" x14ac:dyDescent="0.3">
      <c r="A31" s="35" t="s">
        <v>24</v>
      </c>
      <c r="B31" s="35"/>
      <c r="C31" s="35"/>
      <c r="D31" s="35"/>
      <c r="F31">
        <v>2022</v>
      </c>
      <c r="G31" s="23">
        <f>B22+B79-G46-G39+G52</f>
        <v>-32165</v>
      </c>
    </row>
    <row r="32" spans="1:7" x14ac:dyDescent="0.3">
      <c r="B32" s="34" t="s">
        <v>142</v>
      </c>
      <c r="C32" s="34"/>
      <c r="D32" s="34"/>
      <c r="F32">
        <v>2021</v>
      </c>
      <c r="G32" s="23">
        <f>C22+C79-G47-G40+G53</f>
        <v>-53897</v>
      </c>
    </row>
    <row r="33" spans="1:14" x14ac:dyDescent="0.3">
      <c r="B33" s="7">
        <f>+B4</f>
        <v>2022</v>
      </c>
      <c r="C33" s="7">
        <f t="shared" ref="C33:D33" si="8">+C4</f>
        <v>2021</v>
      </c>
      <c r="D33" s="7">
        <f t="shared" si="8"/>
        <v>2020</v>
      </c>
      <c r="F33">
        <v>2020</v>
      </c>
      <c r="G33" s="23">
        <f>D22+D79-G48-G41+G54</f>
        <v>-282425</v>
      </c>
    </row>
    <row r="35" spans="1:14" x14ac:dyDescent="0.3">
      <c r="A35" t="s">
        <v>25</v>
      </c>
    </row>
    <row r="36" spans="1:14" x14ac:dyDescent="0.3">
      <c r="A36" s="1" t="s">
        <v>26</v>
      </c>
      <c r="B36" s="12">
        <v>23646</v>
      </c>
      <c r="C36" s="12">
        <v>34940</v>
      </c>
      <c r="D36" s="12">
        <v>38016</v>
      </c>
    </row>
    <row r="37" spans="1:14" x14ac:dyDescent="0.3">
      <c r="A37" s="1" t="s">
        <v>27</v>
      </c>
      <c r="B37" s="12">
        <v>24658</v>
      </c>
      <c r="C37" s="12">
        <v>27699</v>
      </c>
      <c r="D37" s="12">
        <v>52927</v>
      </c>
    </row>
    <row r="38" spans="1:14" x14ac:dyDescent="0.3">
      <c r="A38" s="1" t="s">
        <v>28</v>
      </c>
      <c r="B38" s="12">
        <v>28184</v>
      </c>
      <c r="C38" s="12">
        <v>26278</v>
      </c>
      <c r="D38" s="12">
        <v>16120</v>
      </c>
      <c r="G38" t="s">
        <v>155</v>
      </c>
    </row>
    <row r="39" spans="1:14" x14ac:dyDescent="0.3">
      <c r="A39" s="1" t="s">
        <v>29</v>
      </c>
      <c r="B39" s="12">
        <v>4946</v>
      </c>
      <c r="C39" s="12">
        <v>6580</v>
      </c>
      <c r="D39" s="12">
        <v>4061</v>
      </c>
      <c r="F39" s="12">
        <v>2022</v>
      </c>
      <c r="G39" s="23">
        <f>(B45-B96)+B79</f>
        <v>63929</v>
      </c>
      <c r="L39" t="s">
        <v>150</v>
      </c>
      <c r="M39" t="s">
        <v>151</v>
      </c>
      <c r="N39" t="s">
        <v>203</v>
      </c>
    </row>
    <row r="40" spans="1:14" x14ac:dyDescent="0.3">
      <c r="A40" s="1" t="s">
        <v>47</v>
      </c>
      <c r="B40" s="12">
        <v>32748</v>
      </c>
      <c r="C40" s="12">
        <v>25228</v>
      </c>
      <c r="D40" s="12">
        <v>21325</v>
      </c>
      <c r="F40" s="12">
        <v>2021</v>
      </c>
      <c r="G40" s="23">
        <f>(C45-C96)+C79</f>
        <v>61809</v>
      </c>
      <c r="K40" s="12">
        <v>2022</v>
      </c>
      <c r="L40" s="23">
        <f>(B39/B12)*365</f>
        <v>8.0756980666171607</v>
      </c>
      <c r="M40">
        <f>(B38/B8)*365</f>
        <v>26.087825363656648</v>
      </c>
      <c r="N40">
        <f>AVERAGE(B51+B88)/B12*365</f>
        <v>120.11172197221153</v>
      </c>
    </row>
    <row r="41" spans="1:14" x14ac:dyDescent="0.3">
      <c r="A41" s="1" t="s">
        <v>30</v>
      </c>
      <c r="B41" s="12">
        <v>21223</v>
      </c>
      <c r="C41" s="12">
        <v>14111</v>
      </c>
      <c r="D41" s="12">
        <v>11264</v>
      </c>
      <c r="F41" s="12">
        <v>2020</v>
      </c>
      <c r="G41" s="23">
        <f>(D45-D96)+D79</f>
        <v>55131</v>
      </c>
      <c r="K41" s="12">
        <v>2021</v>
      </c>
      <c r="L41">
        <f>(C39/C12)*365</f>
        <v>11.27659274770989</v>
      </c>
      <c r="M41">
        <f>(C38/C8)*365</f>
        <v>26.219311841713207</v>
      </c>
      <c r="N41">
        <f>AVERAGE(C51+C88)/C12*365</f>
        <v>114.97497429348157</v>
      </c>
    </row>
    <row r="42" spans="1:14" x14ac:dyDescent="0.3">
      <c r="A42" s="8" t="s">
        <v>31</v>
      </c>
      <c r="B42" s="13">
        <f>+SUM(B36:B41)</f>
        <v>135405</v>
      </c>
      <c r="C42" s="13">
        <f t="shared" ref="C42:D42" si="9">+SUM(C36:C41)</f>
        <v>134836</v>
      </c>
      <c r="D42" s="13">
        <f t="shared" si="9"/>
        <v>143713</v>
      </c>
      <c r="K42">
        <v>2020</v>
      </c>
      <c r="L42" s="23">
        <f>(D39/D12)*365</f>
        <v>8.7418833562358831</v>
      </c>
      <c r="M42">
        <f>(D38/D8)*365</f>
        <v>21.433437152796749</v>
      </c>
      <c r="N42">
        <f>AVERAGE(D51+D88)/D12*365</f>
        <v>82.304153716405509</v>
      </c>
    </row>
    <row r="43" spans="1:14" x14ac:dyDescent="0.3">
      <c r="A43" t="s">
        <v>48</v>
      </c>
      <c r="B43" s="12"/>
      <c r="C43" s="12"/>
      <c r="D43" s="12"/>
      <c r="L43" s="24"/>
    </row>
    <row r="44" spans="1:14" x14ac:dyDescent="0.3">
      <c r="A44" s="1" t="s">
        <v>27</v>
      </c>
      <c r="B44" s="12">
        <v>120805</v>
      </c>
      <c r="C44" s="12">
        <v>127877</v>
      </c>
      <c r="D44" s="12">
        <v>100887</v>
      </c>
    </row>
    <row r="45" spans="1:14" x14ac:dyDescent="0.3">
      <c r="A45" s="1" t="s">
        <v>32</v>
      </c>
      <c r="B45" s="12">
        <v>42117</v>
      </c>
      <c r="C45" s="12">
        <v>39440</v>
      </c>
      <c r="D45" s="12">
        <v>36766</v>
      </c>
      <c r="G45" t="s">
        <v>153</v>
      </c>
      <c r="L45" s="24"/>
    </row>
    <row r="46" spans="1:14" x14ac:dyDescent="0.3">
      <c r="A46" s="1" t="s">
        <v>49</v>
      </c>
      <c r="B46" s="12">
        <v>54428</v>
      </c>
      <c r="C46" s="12">
        <v>48849</v>
      </c>
      <c r="D46" s="12">
        <v>42522</v>
      </c>
      <c r="F46" s="12">
        <v>2022</v>
      </c>
      <c r="G46" s="23">
        <f>B48-B56</f>
        <v>198773</v>
      </c>
      <c r="L46" s="23">
        <f>L40+M40-H10</f>
        <v>34.163523430273813</v>
      </c>
    </row>
    <row r="47" spans="1:14" x14ac:dyDescent="0.3">
      <c r="A47" s="8" t="s">
        <v>50</v>
      </c>
      <c r="B47" s="13">
        <f>+SUM(B44:B46)</f>
        <v>217350</v>
      </c>
      <c r="C47" s="13">
        <f t="shared" ref="C47:D47" si="10">+SUM(C44:C46)</f>
        <v>216166</v>
      </c>
      <c r="D47" s="13">
        <f t="shared" si="10"/>
        <v>180175</v>
      </c>
      <c r="F47">
        <v>2021</v>
      </c>
      <c r="G47" s="23">
        <f>C48-C56</f>
        <v>225521</v>
      </c>
    </row>
    <row r="48" spans="1:14" ht="15" thickBot="1" x14ac:dyDescent="0.35">
      <c r="A48" s="9" t="s">
        <v>33</v>
      </c>
      <c r="B48" s="14">
        <f>+B42+B47</f>
        <v>352755</v>
      </c>
      <c r="C48" s="14">
        <f t="shared" ref="C48:D48" si="11">+C42+C47</f>
        <v>351002</v>
      </c>
      <c r="D48" s="14">
        <f t="shared" si="11"/>
        <v>323888</v>
      </c>
      <c r="F48">
        <v>2020</v>
      </c>
      <c r="G48" s="23">
        <f>D48-D56</f>
        <v>218496</v>
      </c>
      <c r="K48" s="7"/>
      <c r="L48" s="7"/>
      <c r="M48" s="7"/>
    </row>
    <row r="49" spans="1:13" ht="15" thickTop="1" x14ac:dyDescent="0.3">
      <c r="G49" s="2"/>
      <c r="L49">
        <f>L41+M41-H11</f>
        <v>37.495904589423098</v>
      </c>
    </row>
    <row r="50" spans="1:13" x14ac:dyDescent="0.3">
      <c r="A50" t="s">
        <v>34</v>
      </c>
    </row>
    <row r="51" spans="1:13" x14ac:dyDescent="0.3">
      <c r="A51" s="1" t="s">
        <v>35</v>
      </c>
      <c r="B51" s="12">
        <v>64115</v>
      </c>
      <c r="C51" s="12">
        <v>54763</v>
      </c>
      <c r="D51" s="12">
        <v>42296</v>
      </c>
      <c r="F51" s="12"/>
      <c r="G51" s="2" t="s">
        <v>154</v>
      </c>
      <c r="L51" s="23">
        <f>L42+M42-H12</f>
        <v>30.17532050903263</v>
      </c>
    </row>
    <row r="52" spans="1:13" x14ac:dyDescent="0.3">
      <c r="A52" s="1" t="s">
        <v>36</v>
      </c>
      <c r="B52" s="12">
        <v>60845</v>
      </c>
      <c r="C52" s="12">
        <v>47493</v>
      </c>
      <c r="D52" s="12">
        <v>42684</v>
      </c>
      <c r="F52" s="12">
        <v>2022</v>
      </c>
      <c r="G52" s="23">
        <f>(B55+B59)-B105</f>
        <v>119630</v>
      </c>
    </row>
    <row r="53" spans="1:13" x14ac:dyDescent="0.3">
      <c r="A53" s="1" t="s">
        <v>37</v>
      </c>
      <c r="B53" s="12">
        <v>7912</v>
      </c>
      <c r="C53" s="12">
        <v>7612</v>
      </c>
      <c r="D53" s="12">
        <v>6643</v>
      </c>
      <c r="F53" s="12">
        <v>2021</v>
      </c>
      <c r="G53" s="12">
        <f>(C55+C59)-C105</f>
        <v>127469</v>
      </c>
      <c r="L53" s="23"/>
    </row>
    <row r="54" spans="1:13" x14ac:dyDescent="0.3">
      <c r="A54" s="1" t="s">
        <v>38</v>
      </c>
      <c r="B54" s="12">
        <v>9982</v>
      </c>
      <c r="C54" s="12">
        <v>6000</v>
      </c>
      <c r="D54" s="12">
        <v>4996</v>
      </c>
      <c r="F54" s="12">
        <v>2020</v>
      </c>
      <c r="G54" s="23">
        <f>(D55-D59)-D105</f>
        <v>-77265</v>
      </c>
      <c r="M54" t="s">
        <v>152</v>
      </c>
    </row>
    <row r="55" spans="1:13" x14ac:dyDescent="0.3">
      <c r="A55" s="1" t="s">
        <v>39</v>
      </c>
      <c r="B55" s="12">
        <v>11128</v>
      </c>
      <c r="C55" s="12">
        <v>9613</v>
      </c>
      <c r="D55" s="12">
        <v>8773</v>
      </c>
      <c r="F55" s="23"/>
      <c r="K55" s="25"/>
      <c r="L55" s="25">
        <v>2022</v>
      </c>
      <c r="M55" s="23">
        <f>B42-B56</f>
        <v>-18577</v>
      </c>
    </row>
    <row r="56" spans="1:13" x14ac:dyDescent="0.3">
      <c r="A56" s="8" t="s">
        <v>40</v>
      </c>
      <c r="B56" s="13">
        <f>+SUM(B51:B55)</f>
        <v>153982</v>
      </c>
      <c r="C56" s="13">
        <f t="shared" ref="C56:D56" si="12">+SUM(C51:C55)</f>
        <v>125481</v>
      </c>
      <c r="D56" s="13">
        <f t="shared" si="12"/>
        <v>105392</v>
      </c>
      <c r="L56">
        <v>2021</v>
      </c>
      <c r="M56" s="23">
        <f>C42-C56</f>
        <v>9355</v>
      </c>
    </row>
    <row r="57" spans="1:13" x14ac:dyDescent="0.3">
      <c r="A57" t="s">
        <v>51</v>
      </c>
      <c r="B57" s="12"/>
      <c r="C57" s="12"/>
      <c r="D57" s="12"/>
      <c r="L57" s="2">
        <v>2020</v>
      </c>
      <c r="M57" s="23">
        <f>D42-D56</f>
        <v>38321</v>
      </c>
    </row>
    <row r="58" spans="1:13" x14ac:dyDescent="0.3">
      <c r="A58" s="1" t="s">
        <v>37</v>
      </c>
      <c r="B58" s="12"/>
      <c r="C58" s="12"/>
      <c r="D58" s="12"/>
    </row>
    <row r="59" spans="1:13" x14ac:dyDescent="0.3">
      <c r="A59" s="1" t="s">
        <v>39</v>
      </c>
      <c r="B59" s="12">
        <v>98959</v>
      </c>
      <c r="C59" s="12">
        <v>109106</v>
      </c>
      <c r="D59" s="12">
        <v>98667</v>
      </c>
    </row>
    <row r="60" spans="1:13" x14ac:dyDescent="0.3">
      <c r="A60" s="1" t="s">
        <v>52</v>
      </c>
      <c r="B60" s="12">
        <v>49142</v>
      </c>
      <c r="C60" s="12">
        <v>53325</v>
      </c>
      <c r="D60" s="12">
        <v>54490</v>
      </c>
      <c r="G60" t="s">
        <v>125</v>
      </c>
      <c r="L60">
        <f>(M57/D8)*100</f>
        <v>13.959528623208204</v>
      </c>
    </row>
    <row r="61" spans="1:13" x14ac:dyDescent="0.3">
      <c r="A61" s="22" t="s">
        <v>53</v>
      </c>
      <c r="B61" s="21">
        <f>+B59+B60</f>
        <v>148101</v>
      </c>
      <c r="C61" s="21">
        <f t="shared" ref="C61:D61" si="13">+C59+C60</f>
        <v>162431</v>
      </c>
      <c r="D61" s="21">
        <f t="shared" si="13"/>
        <v>153157</v>
      </c>
      <c r="F61">
        <v>2022</v>
      </c>
      <c r="G61">
        <f>B8/(AVERAGE(B91+B48))</f>
        <v>0.83032852817189085</v>
      </c>
    </row>
    <row r="62" spans="1:13" x14ac:dyDescent="0.3">
      <c r="A62" s="8" t="s">
        <v>41</v>
      </c>
      <c r="B62" s="13">
        <f>+B56+B61</f>
        <v>302083</v>
      </c>
      <c r="C62" s="13">
        <f t="shared" ref="C62:D62" si="14">+C56+C61</f>
        <v>287912</v>
      </c>
      <c r="D62" s="13">
        <f t="shared" si="14"/>
        <v>258549</v>
      </c>
      <c r="F62">
        <v>2021</v>
      </c>
      <c r="G62">
        <f>C8/(AVERAGE(C91+C48))</f>
        <v>0.80392273206751053</v>
      </c>
    </row>
    <row r="63" spans="1:13" x14ac:dyDescent="0.3">
      <c r="B63" s="12"/>
      <c r="C63" s="12"/>
      <c r="D63" s="12"/>
      <c r="F63">
        <v>2020</v>
      </c>
      <c r="G63">
        <f>D8/(AVERAGE(D91+D48))</f>
        <v>0.67854865261690422</v>
      </c>
    </row>
    <row r="64" spans="1:13" x14ac:dyDescent="0.3">
      <c r="A64" t="s">
        <v>42</v>
      </c>
      <c r="B64" s="12"/>
      <c r="C64" s="12"/>
      <c r="D64" s="12"/>
    </row>
    <row r="65" spans="1:8" x14ac:dyDescent="0.3">
      <c r="A65" s="1" t="s">
        <v>54</v>
      </c>
      <c r="B65" s="12">
        <v>64849</v>
      </c>
      <c r="C65" s="12">
        <v>57365</v>
      </c>
      <c r="D65" s="12">
        <v>50779</v>
      </c>
    </row>
    <row r="66" spans="1:8" x14ac:dyDescent="0.3">
      <c r="A66" s="1" t="s">
        <v>43</v>
      </c>
      <c r="B66" s="12">
        <v>-3068</v>
      </c>
      <c r="C66" s="12">
        <v>5562</v>
      </c>
      <c r="D66" s="12">
        <v>14966</v>
      </c>
      <c r="G66" t="s">
        <v>126</v>
      </c>
    </row>
    <row r="67" spans="1:8" x14ac:dyDescent="0.3">
      <c r="A67" s="1" t="s">
        <v>44</v>
      </c>
      <c r="B67" s="12">
        <v>-11109</v>
      </c>
      <c r="C67" s="12">
        <v>163</v>
      </c>
      <c r="D67" s="12">
        <v>-406</v>
      </c>
      <c r="F67" s="12">
        <v>2022</v>
      </c>
      <c r="G67">
        <f>B22/(AVERAGE(B45+B96))</f>
        <v>3.1775287338024132</v>
      </c>
    </row>
    <row r="68" spans="1:8" x14ac:dyDescent="0.3">
      <c r="A68" s="8" t="s">
        <v>45</v>
      </c>
      <c r="B68" s="13">
        <f>+SUM(B65:B67)</f>
        <v>50672</v>
      </c>
      <c r="C68" s="13">
        <f t="shared" ref="C68:D68" si="15">+SUM(C65:C67)</f>
        <v>63090</v>
      </c>
      <c r="D68" s="13">
        <f t="shared" si="15"/>
        <v>65339</v>
      </c>
      <c r="F68">
        <v>2021</v>
      </c>
      <c r="G68">
        <f>C22/(AVERAGE(C45+C96))</f>
        <v>3.3390936342796684</v>
      </c>
    </row>
    <row r="69" spans="1:8" ht="15" thickBot="1" x14ac:dyDescent="0.35">
      <c r="A69" s="9" t="s">
        <v>46</v>
      </c>
      <c r="B69" s="14">
        <f>+B68+B62</f>
        <v>352755</v>
      </c>
      <c r="C69" s="14">
        <f t="shared" ref="C69:D69" si="16">+C68+C62</f>
        <v>351002</v>
      </c>
      <c r="D69" s="14">
        <f t="shared" si="16"/>
        <v>323888</v>
      </c>
      <c r="F69">
        <v>2020</v>
      </c>
      <c r="G69">
        <f>D22/(AVERAGE(D45+D96))</f>
        <v>1.9489764741827069</v>
      </c>
    </row>
    <row r="70" spans="1:8" ht="15" thickTop="1" x14ac:dyDescent="0.3"/>
    <row r="71" spans="1:8" x14ac:dyDescent="0.3">
      <c r="A71" s="35" t="s">
        <v>55</v>
      </c>
      <c r="B71" s="35"/>
      <c r="C71" s="35"/>
      <c r="D71" s="35"/>
    </row>
    <row r="72" spans="1:8" x14ac:dyDescent="0.3">
      <c r="B72" s="34" t="s">
        <v>23</v>
      </c>
      <c r="C72" s="34"/>
      <c r="D72" s="34"/>
    </row>
    <row r="73" spans="1:8" x14ac:dyDescent="0.3">
      <c r="B73" s="7">
        <f>+B33</f>
        <v>2022</v>
      </c>
      <c r="C73" s="7">
        <f t="shared" ref="C73:D73" si="17">+C33</f>
        <v>2021</v>
      </c>
      <c r="D73" s="7">
        <f t="shared" si="17"/>
        <v>2020</v>
      </c>
      <c r="F73" s="2"/>
      <c r="G73" t="s">
        <v>127</v>
      </c>
      <c r="H73" s="2"/>
    </row>
    <row r="74" spans="1:8" x14ac:dyDescent="0.3">
      <c r="F74">
        <v>2022</v>
      </c>
      <c r="G74">
        <f>B12/(AVERAGE(B85+B39))</f>
        <v>34.76609642301711</v>
      </c>
    </row>
    <row r="75" spans="1:8" x14ac:dyDescent="0.3">
      <c r="A75" s="7" t="s">
        <v>56</v>
      </c>
      <c r="B75" s="15"/>
      <c r="C75" s="15"/>
      <c r="D75" s="15"/>
      <c r="F75" s="12">
        <v>2021</v>
      </c>
      <c r="G75">
        <f>C12/(AVERAGE(C85+C39))</f>
        <v>54.083544946673442</v>
      </c>
      <c r="H75" s="12"/>
    </row>
    <row r="76" spans="1:8" x14ac:dyDescent="0.3">
      <c r="A76" t="s">
        <v>57</v>
      </c>
      <c r="B76" s="12">
        <f>+B22</f>
        <v>99803</v>
      </c>
      <c r="C76" s="12">
        <f t="shared" ref="C76:D76" si="18">+C22</f>
        <v>94680</v>
      </c>
      <c r="D76" s="12">
        <f t="shared" si="18"/>
        <v>57411</v>
      </c>
      <c r="F76">
        <v>2020</v>
      </c>
      <c r="G76" s="23">
        <f>D12/(AVERAGE(D85+D39))</f>
        <v>43.10091509913574</v>
      </c>
    </row>
    <row r="77" spans="1:8" x14ac:dyDescent="0.3">
      <c r="A77" s="11" t="s">
        <v>18</v>
      </c>
      <c r="B77" s="15"/>
      <c r="C77" s="15"/>
      <c r="D77" s="15"/>
      <c r="F77" s="12"/>
      <c r="G77" s="23"/>
      <c r="H77" s="12"/>
    </row>
    <row r="78" spans="1:8" x14ac:dyDescent="0.3">
      <c r="A78" s="1" t="s">
        <v>58</v>
      </c>
      <c r="B78" s="12"/>
      <c r="C78" s="12"/>
      <c r="D78" s="12"/>
      <c r="G78" s="23"/>
    </row>
    <row r="79" spans="1:8" x14ac:dyDescent="0.3">
      <c r="A79" s="3" t="s">
        <v>59</v>
      </c>
      <c r="B79" s="12">
        <v>11104</v>
      </c>
      <c r="C79" s="12">
        <v>11284</v>
      </c>
      <c r="D79" s="12">
        <v>11056</v>
      </c>
      <c r="G79" t="s">
        <v>157</v>
      </c>
    </row>
    <row r="80" spans="1:8" x14ac:dyDescent="0.3">
      <c r="A80" s="3" t="s">
        <v>83</v>
      </c>
      <c r="B80" s="12">
        <v>9038</v>
      </c>
      <c r="C80" s="12">
        <v>7906</v>
      </c>
      <c r="D80" s="12">
        <v>6829</v>
      </c>
      <c r="F80" s="12">
        <v>2022</v>
      </c>
      <c r="G80">
        <f>B76/(AVERAGE(F88+B48))</f>
        <v>0.26606825325310646</v>
      </c>
    </row>
    <row r="81" spans="1:7" x14ac:dyDescent="0.3">
      <c r="A81" s="3" t="s">
        <v>60</v>
      </c>
      <c r="B81" s="12">
        <v>895</v>
      </c>
      <c r="C81" s="12">
        <v>-4774</v>
      </c>
      <c r="D81" s="12">
        <v>-215</v>
      </c>
      <c r="F81" s="12">
        <v>2021</v>
      </c>
      <c r="G81">
        <f>C76/(AVERAGE(F89+C48))</f>
        <v>0.26273726273726272</v>
      </c>
    </row>
    <row r="82" spans="1:7" x14ac:dyDescent="0.3">
      <c r="A82" s="3" t="s">
        <v>61</v>
      </c>
      <c r="B82" s="12">
        <v>111</v>
      </c>
      <c r="C82" s="12">
        <v>-147</v>
      </c>
      <c r="D82" s="12">
        <v>-97</v>
      </c>
      <c r="F82" s="12">
        <v>2020</v>
      </c>
      <c r="G82">
        <f>D76/(AVERAGE(F90+D48))</f>
        <v>0.16537760225377429</v>
      </c>
    </row>
    <row r="83" spans="1:7" x14ac:dyDescent="0.3">
      <c r="A83" t="s">
        <v>62</v>
      </c>
      <c r="B83" s="12"/>
      <c r="C83" s="12"/>
      <c r="D83" s="12"/>
    </row>
    <row r="84" spans="1:7" x14ac:dyDescent="0.3">
      <c r="A84" s="1" t="s">
        <v>28</v>
      </c>
      <c r="B84" s="12">
        <v>-1823</v>
      </c>
      <c r="C84" s="12">
        <v>-10125</v>
      </c>
      <c r="D84" s="12">
        <v>6917</v>
      </c>
      <c r="F84" s="23"/>
    </row>
    <row r="85" spans="1:7" x14ac:dyDescent="0.3">
      <c r="A85" s="1" t="s">
        <v>29</v>
      </c>
      <c r="B85" s="12">
        <v>1484</v>
      </c>
      <c r="C85" s="12">
        <v>-2642</v>
      </c>
      <c r="D85" s="12">
        <v>-127</v>
      </c>
    </row>
    <row r="86" spans="1:7" x14ac:dyDescent="0.3">
      <c r="A86" s="1" t="s">
        <v>47</v>
      </c>
      <c r="B86" s="12">
        <v>-7520</v>
      </c>
      <c r="C86" s="12">
        <v>-3903</v>
      </c>
      <c r="D86" s="12">
        <v>1553</v>
      </c>
    </row>
    <row r="87" spans="1:7" x14ac:dyDescent="0.3">
      <c r="A87" s="1" t="s">
        <v>84</v>
      </c>
      <c r="B87" s="12">
        <v>-6499</v>
      </c>
      <c r="C87" s="12">
        <v>-8042</v>
      </c>
      <c r="D87" s="12">
        <v>-9588</v>
      </c>
      <c r="F87" s="23" t="s">
        <v>158</v>
      </c>
    </row>
    <row r="88" spans="1:7" x14ac:dyDescent="0.3">
      <c r="A88" s="1" t="s">
        <v>35</v>
      </c>
      <c r="B88" s="12">
        <v>9448</v>
      </c>
      <c r="C88" s="12">
        <v>12326</v>
      </c>
      <c r="D88" s="12">
        <v>-4062</v>
      </c>
      <c r="F88" s="12">
        <f>SUM(B79:B90)</f>
        <v>22348</v>
      </c>
    </row>
    <row r="89" spans="1:7" x14ac:dyDescent="0.3">
      <c r="A89" s="1" t="s">
        <v>37</v>
      </c>
      <c r="B89" s="12">
        <v>478</v>
      </c>
      <c r="C89" s="12">
        <v>1676</v>
      </c>
      <c r="D89" s="12">
        <v>2081</v>
      </c>
      <c r="F89" s="12">
        <f>SUM(C79:C90)</f>
        <v>9358</v>
      </c>
    </row>
    <row r="90" spans="1:7" x14ac:dyDescent="0.3">
      <c r="A90" s="1" t="s">
        <v>85</v>
      </c>
      <c r="B90" s="12">
        <v>5632</v>
      </c>
      <c r="C90" s="12">
        <v>5799</v>
      </c>
      <c r="D90" s="12">
        <v>8916</v>
      </c>
      <c r="F90" s="23">
        <f>SUM(D79:D90)</f>
        <v>23263</v>
      </c>
    </row>
    <row r="91" spans="1:7" x14ac:dyDescent="0.3">
      <c r="A91" s="8" t="s">
        <v>63</v>
      </c>
      <c r="B91" s="13">
        <f>+SUM(B76:B90)</f>
        <v>122151</v>
      </c>
      <c r="C91" s="13">
        <f t="shared" ref="C91:D91" si="19">+SUM(C76:C90)</f>
        <v>104038</v>
      </c>
      <c r="D91" s="13">
        <f t="shared" si="19"/>
        <v>80674</v>
      </c>
    </row>
    <row r="92" spans="1:7" x14ac:dyDescent="0.3">
      <c r="A92" s="7" t="s">
        <v>64</v>
      </c>
      <c r="B92" s="12"/>
      <c r="C92" s="12"/>
      <c r="D92" s="12"/>
      <c r="G92" t="s">
        <v>159</v>
      </c>
    </row>
    <row r="93" spans="1:7" x14ac:dyDescent="0.3">
      <c r="A93" s="1" t="s">
        <v>65</v>
      </c>
      <c r="B93" s="12">
        <v>-76923</v>
      </c>
      <c r="C93" s="12">
        <v>-109558</v>
      </c>
      <c r="D93" s="12">
        <v>-114938</v>
      </c>
      <c r="F93" s="12">
        <v>2022</v>
      </c>
      <c r="G93" s="26">
        <v>155.81</v>
      </c>
    </row>
    <row r="94" spans="1:7" x14ac:dyDescent="0.3">
      <c r="A94" s="1" t="s">
        <v>66</v>
      </c>
      <c r="B94" s="12">
        <v>29917</v>
      </c>
      <c r="C94" s="12">
        <v>59023</v>
      </c>
      <c r="D94" s="12">
        <v>69918</v>
      </c>
      <c r="F94" s="12">
        <v>2021</v>
      </c>
      <c r="G94" s="26">
        <v>154.30000000000001</v>
      </c>
    </row>
    <row r="95" spans="1:7" x14ac:dyDescent="0.3">
      <c r="A95" s="1" t="s">
        <v>67</v>
      </c>
      <c r="B95" s="12">
        <v>37446</v>
      </c>
      <c r="C95" s="12">
        <v>47460</v>
      </c>
      <c r="D95" s="12">
        <v>50473</v>
      </c>
      <c r="F95" s="12">
        <v>2020</v>
      </c>
      <c r="G95" s="26">
        <v>113.02</v>
      </c>
    </row>
    <row r="96" spans="1:7" x14ac:dyDescent="0.3">
      <c r="A96" s="1" t="s">
        <v>68</v>
      </c>
      <c r="B96" s="12">
        <v>-10708</v>
      </c>
      <c r="C96" s="12">
        <v>-11085</v>
      </c>
      <c r="D96" s="12">
        <v>-7309</v>
      </c>
    </row>
    <row r="97" spans="1:7" x14ac:dyDescent="0.3">
      <c r="A97" s="1" t="s">
        <v>69</v>
      </c>
      <c r="B97" s="12">
        <v>-306</v>
      </c>
      <c r="C97" s="12">
        <v>-33</v>
      </c>
      <c r="D97" s="12">
        <v>-1524</v>
      </c>
    </row>
    <row r="98" spans="1:7" x14ac:dyDescent="0.3">
      <c r="A98" s="1" t="s">
        <v>61</v>
      </c>
      <c r="B98" s="12">
        <v>-1780</v>
      </c>
      <c r="C98" s="12">
        <v>-352</v>
      </c>
      <c r="D98" s="12">
        <v>-909</v>
      </c>
      <c r="G98" s="12"/>
    </row>
    <row r="99" spans="1:7" x14ac:dyDescent="0.3">
      <c r="A99" s="8" t="s">
        <v>70</v>
      </c>
      <c r="B99" s="13">
        <f>+SUM(B93:B98)</f>
        <v>-22354</v>
      </c>
      <c r="C99" s="13">
        <f t="shared" ref="C99:D99" si="20">+SUM(C93:C98)</f>
        <v>-14545</v>
      </c>
      <c r="D99" s="13">
        <f t="shared" si="20"/>
        <v>-4289</v>
      </c>
      <c r="F99" t="s">
        <v>160</v>
      </c>
    </row>
    <row r="100" spans="1:7" x14ac:dyDescent="0.3">
      <c r="A100" s="7" t="s">
        <v>71</v>
      </c>
      <c r="B100" s="12"/>
      <c r="C100" s="12"/>
      <c r="D100" s="12"/>
      <c r="F100">
        <f>G93/B24</f>
        <v>25.334959349593493</v>
      </c>
    </row>
    <row r="101" spans="1:7" x14ac:dyDescent="0.3">
      <c r="A101" s="1" t="s">
        <v>86</v>
      </c>
      <c r="B101" s="12">
        <v>-6223</v>
      </c>
      <c r="C101" s="12">
        <v>-6556</v>
      </c>
      <c r="D101" s="12">
        <v>-3634</v>
      </c>
      <c r="F101">
        <f>G94/C24</f>
        <v>27.213403880070548</v>
      </c>
    </row>
    <row r="102" spans="1:7" x14ac:dyDescent="0.3">
      <c r="A102" s="1" t="s">
        <v>72</v>
      </c>
      <c r="B102" s="12">
        <v>-14841</v>
      </c>
      <c r="C102" s="12">
        <v>-14467</v>
      </c>
      <c r="D102" s="12">
        <v>-14081</v>
      </c>
      <c r="F102">
        <f>G95/D24</f>
        <v>34.145015105740178</v>
      </c>
    </row>
    <row r="103" spans="1:7" x14ac:dyDescent="0.3">
      <c r="A103" s="1" t="s">
        <v>73</v>
      </c>
      <c r="B103" s="12">
        <v>-89402</v>
      </c>
      <c r="C103" s="12">
        <v>-85971</v>
      </c>
      <c r="D103" s="12">
        <v>-72358</v>
      </c>
    </row>
    <row r="104" spans="1:7" x14ac:dyDescent="0.3">
      <c r="A104" s="1" t="s">
        <v>74</v>
      </c>
      <c r="B104" s="12">
        <v>5465</v>
      </c>
      <c r="C104" s="12">
        <v>20393</v>
      </c>
      <c r="D104" s="12">
        <v>16091</v>
      </c>
    </row>
    <row r="105" spans="1:7" x14ac:dyDescent="0.3">
      <c r="A105" s="1" t="s">
        <v>75</v>
      </c>
      <c r="B105" s="12">
        <v>-9543</v>
      </c>
      <c r="C105" s="12">
        <v>-8750</v>
      </c>
      <c r="D105" s="12">
        <v>-12629</v>
      </c>
    </row>
    <row r="106" spans="1:7" x14ac:dyDescent="0.3">
      <c r="A106" s="1" t="s">
        <v>76</v>
      </c>
      <c r="B106" s="12">
        <v>3955</v>
      </c>
      <c r="C106" s="12">
        <v>1022</v>
      </c>
      <c r="D106" s="12">
        <v>-963</v>
      </c>
    </row>
    <row r="107" spans="1:7" x14ac:dyDescent="0.3">
      <c r="A107" s="1" t="s">
        <v>61</v>
      </c>
      <c r="B107" s="12">
        <v>-160</v>
      </c>
      <c r="C107" s="12">
        <v>976</v>
      </c>
      <c r="D107" s="12">
        <v>754</v>
      </c>
    </row>
    <row r="108" spans="1:7" x14ac:dyDescent="0.3">
      <c r="A108" s="8" t="s">
        <v>77</v>
      </c>
      <c r="B108" s="13">
        <f>+SUM(B101:B107)</f>
        <v>-110749</v>
      </c>
      <c r="C108" s="13">
        <f t="shared" ref="C108:D108" si="21">+SUM(C101:C107)</f>
        <v>-93353</v>
      </c>
      <c r="D108" s="13">
        <f t="shared" si="21"/>
        <v>-86820</v>
      </c>
    </row>
    <row r="109" spans="1:7" x14ac:dyDescent="0.3">
      <c r="A109" s="8" t="s">
        <v>78</v>
      </c>
      <c r="B109" s="13">
        <f>+B91+B99+B108</f>
        <v>-10952</v>
      </c>
      <c r="C109" s="13">
        <f t="shared" ref="C109:D109" si="22">+C91+C99+C108</f>
        <v>-3860</v>
      </c>
      <c r="D109" s="13">
        <f t="shared" si="22"/>
        <v>-10435</v>
      </c>
    </row>
    <row r="110" spans="1:7" ht="15" thickBot="1" x14ac:dyDescent="0.35">
      <c r="A110" s="9" t="s">
        <v>79</v>
      </c>
      <c r="B110" s="14">
        <v>24977</v>
      </c>
      <c r="C110" s="14">
        <v>35929</v>
      </c>
      <c r="D110" s="14">
        <v>39789</v>
      </c>
    </row>
    <row r="111" spans="1:7" ht="15" thickTop="1" x14ac:dyDescent="0.3">
      <c r="B111" s="12"/>
      <c r="C111" s="12"/>
      <c r="D111" s="12"/>
    </row>
    <row r="112" spans="1:7" x14ac:dyDescent="0.3">
      <c r="A112" t="s">
        <v>80</v>
      </c>
      <c r="B112" s="12"/>
      <c r="C112" s="12"/>
      <c r="D112" s="12"/>
      <c r="F112" s="12"/>
      <c r="G112" s="12"/>
    </row>
    <row r="113" spans="1:4" x14ac:dyDescent="0.3">
      <c r="A113" t="s">
        <v>81</v>
      </c>
      <c r="B113" s="12">
        <v>19573</v>
      </c>
      <c r="C113" s="12">
        <v>25385</v>
      </c>
      <c r="D113" s="12">
        <v>9501</v>
      </c>
    </row>
    <row r="114" spans="1:4" x14ac:dyDescent="0.3">
      <c r="A114" t="s">
        <v>82</v>
      </c>
      <c r="B114" s="12">
        <v>2865</v>
      </c>
      <c r="C114" s="12">
        <v>2687</v>
      </c>
      <c r="D114" s="12">
        <v>3002</v>
      </c>
    </row>
  </sheetData>
  <mergeCells count="6">
    <mergeCell ref="B3:D3"/>
    <mergeCell ref="B32:D32"/>
    <mergeCell ref="B72:D72"/>
    <mergeCell ref="A2:D2"/>
    <mergeCell ref="A31:D31"/>
    <mergeCell ref="A71:D7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Ratios</vt:lpstr>
      <vt:lpstr>Financial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2020-05-18T16:32:37Z</dcterms:created>
  <dcterms:modified xsi:type="dcterms:W3CDTF">2023-10-31T17:16:06Z</dcterms:modified>
</cp:coreProperties>
</file>